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585" yWindow="-15" windowWidth="12570" windowHeight="13005" tabRatio="975" firstSheet="1" activeTab="1"/>
  </bookViews>
  <sheets>
    <sheet name="ВСЕ затраты за 6 мес." sheetId="23" state="hidden" r:id="rId1"/>
    <sheet name="ВСЕ затраты в 2020-2021 гг" sheetId="20" r:id="rId2"/>
    <sheet name="ВСЕ затраты в 2016-2017 гг (2)" sheetId="21" state="hidden" r:id="rId3"/>
    <sheet name="общехоз расходы" sheetId="1" r:id="rId4"/>
    <sheet name="программ обеспечение" sheetId="2" r:id="rId5"/>
    <sheet name="услуги связи" sheetId="3" r:id="rId6"/>
    <sheet name="з пл" sheetId="5" r:id="rId7"/>
    <sheet name="премиальный фонд" sheetId="6" r:id="rId8"/>
    <sheet name="налог с ФОТ" sheetId="7" r:id="rId9"/>
    <sheet name="приобрт инвентаря и оборуд" sheetId="8" r:id="rId10"/>
    <sheet name="сод охраны" sheetId="10" r:id="rId11"/>
    <sheet name="вывоз мусора" sheetId="9" r:id="rId12"/>
    <sheet name="содерж газ оборуд" sheetId="11" r:id="rId13"/>
    <sheet name="сод сетей водоснабжения" sheetId="12" r:id="rId14"/>
    <sheet name="канализация" sheetId="27" r:id="rId15"/>
    <sheet name="электроснабжение" sheetId="15" r:id="rId16"/>
    <sheet name="содерж дорог" sheetId="17" r:id="rId17"/>
    <sheet name="ямочный ремонт" sheetId="26" r:id="rId18"/>
    <sheet name="благоустройство" sheetId="18" r:id="rId19"/>
    <sheet name="резервный фонд" sheetId="19" r:id="rId20"/>
    <sheet name="Ремонт водопров." sheetId="25" r:id="rId21"/>
    <sheet name="Лиц.скважин" sheetId="29" r:id="rId22"/>
    <sheet name="Оформление земли" sheetId="30" r:id="rId23"/>
    <sheet name="Глуб.насос" sheetId="31" r:id="rId24"/>
    <sheet name="Помещ.охраны" sheetId="32" r:id="rId25"/>
  </sheets>
  <definedNames>
    <definedName name="_xlnm.Print_Area" localSheetId="1">'ВСЕ затраты в 2020-2021 гг'!$A$1:$V$39</definedName>
  </definedNames>
  <calcPr calcId="114210"/>
</workbook>
</file>

<file path=xl/calcChain.xml><?xml version="1.0" encoding="utf-8"?>
<calcChain xmlns="http://schemas.openxmlformats.org/spreadsheetml/2006/main">
  <c r="E3" i="5"/>
  <c r="E4"/>
  <c r="E3" i="7"/>
  <c r="E5" i="15"/>
  <c r="K9" i="20"/>
  <c r="E4" i="18"/>
  <c r="E14" i="1"/>
  <c r="E12" i="19"/>
  <c r="E5" i="3"/>
  <c r="D9" i="25"/>
  <c r="D3" i="7"/>
  <c r="D3" i="5"/>
  <c r="D4"/>
  <c r="D3" i="18"/>
  <c r="D10" i="19"/>
  <c r="N8" i="17"/>
  <c r="N9"/>
  <c r="D6" i="2"/>
  <c r="D7" i="1"/>
  <c r="J6" i="20"/>
  <c r="D5" i="3"/>
  <c r="D5" i="15"/>
  <c r="J9" i="20"/>
  <c r="U3"/>
  <c r="T3"/>
  <c r="I6"/>
  <c r="C3" i="5"/>
  <c r="C4"/>
  <c r="C10" i="18"/>
  <c r="C4"/>
  <c r="C5" i="15"/>
  <c r="I9" i="20"/>
  <c r="C3" i="7"/>
  <c r="C3" i="27"/>
  <c r="C5" i="3"/>
  <c r="B3" i="7"/>
  <c r="H30" i="20"/>
  <c r="N12" i="19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4" i="30"/>
  <c r="B4" i="5"/>
  <c r="B3"/>
  <c r="B5" i="19"/>
  <c r="B3"/>
  <c r="B5" i="15"/>
  <c r="H9" i="20"/>
  <c r="H6"/>
  <c r="T34"/>
  <c r="V34"/>
  <c r="U34"/>
  <c r="U35"/>
  <c r="F38"/>
  <c r="T31"/>
  <c r="U31"/>
  <c r="V31"/>
  <c r="S36"/>
  <c r="N20" i="8"/>
  <c r="N21"/>
  <c r="N22"/>
  <c r="N23"/>
  <c r="N33" i="17"/>
  <c r="N34"/>
  <c r="N22" i="27"/>
  <c r="N37" i="18"/>
  <c r="N38"/>
  <c r="N39"/>
  <c r="N40"/>
  <c r="N41"/>
  <c r="N42"/>
  <c r="N43"/>
  <c r="N36"/>
  <c r="N31" i="12"/>
  <c r="C64" i="19"/>
  <c r="I27" i="20"/>
  <c r="G64" i="19"/>
  <c r="H64"/>
  <c r="N27" i="20"/>
  <c r="I64" i="19"/>
  <c r="O27" i="20"/>
  <c r="L64" i="19"/>
  <c r="R27" i="20"/>
  <c r="M64" i="19"/>
  <c r="S27" i="20"/>
  <c r="B64" i="19"/>
  <c r="H27" i="20"/>
  <c r="N33" i="19"/>
  <c r="N34"/>
  <c r="N35"/>
  <c r="N36"/>
  <c r="N37"/>
  <c r="N38"/>
  <c r="N39"/>
  <c r="N40"/>
  <c r="N41"/>
  <c r="N42"/>
  <c r="N43"/>
  <c r="N44"/>
  <c r="N45"/>
  <c r="N46"/>
  <c r="N47"/>
  <c r="N48"/>
  <c r="N49"/>
  <c r="N50"/>
  <c r="N3"/>
  <c r="N6" i="17"/>
  <c r="N21" i="27"/>
  <c r="N11" i="18"/>
  <c r="N18" i="15"/>
  <c r="N19"/>
  <c r="N30" i="12"/>
  <c r="N20" i="27"/>
  <c r="N12" i="18"/>
  <c r="H6" i="7"/>
  <c r="N17" i="20"/>
  <c r="I6" i="7"/>
  <c r="O17" i="20"/>
  <c r="N5" i="7"/>
  <c r="F6"/>
  <c r="L17" i="20"/>
  <c r="E6" i="7"/>
  <c r="K17" i="20"/>
  <c r="N5" i="29"/>
  <c r="N35" i="18"/>
  <c r="N30" i="1"/>
  <c r="N31"/>
  <c r="K64" i="19"/>
  <c r="Q27" i="20"/>
  <c r="N5" i="15"/>
  <c r="N6"/>
  <c r="N10" i="17"/>
  <c r="N31"/>
  <c r="N32"/>
  <c r="N17" i="15"/>
  <c r="J73" i="1"/>
  <c r="P12" i="20"/>
  <c r="J64" i="19"/>
  <c r="P27" i="20"/>
  <c r="O35"/>
  <c r="O36"/>
  <c r="N32" i="18"/>
  <c r="N33"/>
  <c r="N30" i="17"/>
  <c r="U37" i="20"/>
  <c r="U36"/>
  <c r="U33"/>
  <c r="U32"/>
  <c r="N16" i="27"/>
  <c r="N17"/>
  <c r="N28" i="12"/>
  <c r="H6" i="5"/>
  <c r="N15" i="20"/>
  <c r="C12" i="32"/>
  <c r="D12"/>
  <c r="E12"/>
  <c r="F12"/>
  <c r="G12"/>
  <c r="H12"/>
  <c r="N37" i="20"/>
  <c r="I12" i="32"/>
  <c r="O37" i="20"/>
  <c r="J12" i="32"/>
  <c r="P37" i="20"/>
  <c r="K12" i="32"/>
  <c r="Q37" i="20"/>
  <c r="L12" i="32"/>
  <c r="R37" i="20"/>
  <c r="M12" i="32"/>
  <c r="S37" i="20"/>
  <c r="B12" i="32"/>
  <c r="H37" i="20"/>
  <c r="C17" i="31"/>
  <c r="I36" i="20"/>
  <c r="D17" i="31"/>
  <c r="J36" i="20"/>
  <c r="E17" i="31"/>
  <c r="K36" i="20"/>
  <c r="F17" i="31"/>
  <c r="L36" i="20"/>
  <c r="G17" i="31"/>
  <c r="M36" i="20"/>
  <c r="H17" i="31"/>
  <c r="N36" i="20"/>
  <c r="I17" i="31"/>
  <c r="J17"/>
  <c r="P36" i="20"/>
  <c r="K17" i="31"/>
  <c r="Q36" i="20"/>
  <c r="L17" i="31"/>
  <c r="R36" i="20"/>
  <c r="M17" i="31"/>
  <c r="B17"/>
  <c r="H36" i="20"/>
  <c r="I37"/>
  <c r="J37"/>
  <c r="K37"/>
  <c r="L37"/>
  <c r="M37"/>
  <c r="N10" i="32"/>
  <c r="N15" i="15"/>
  <c r="N16"/>
  <c r="N20"/>
  <c r="N11" i="32"/>
  <c r="N3"/>
  <c r="N3" i="31"/>
  <c r="N9" i="32"/>
  <c r="N8"/>
  <c r="N7"/>
  <c r="N6"/>
  <c r="N5"/>
  <c r="N4"/>
  <c r="G1"/>
  <c r="N16" i="31"/>
  <c r="N15"/>
  <c r="N14"/>
  <c r="N13"/>
  <c r="N12"/>
  <c r="N11"/>
  <c r="N10"/>
  <c r="N9"/>
  <c r="N8"/>
  <c r="N7"/>
  <c r="N6"/>
  <c r="N5"/>
  <c r="N17"/>
  <c r="N4"/>
  <c r="G1"/>
  <c r="M17" i="30"/>
  <c r="S35" i="20"/>
  <c r="L17" i="30"/>
  <c r="R35" i="20"/>
  <c r="K17" i="30"/>
  <c r="Q35" i="20"/>
  <c r="J17" i="30"/>
  <c r="P35" i="20"/>
  <c r="I17" i="30"/>
  <c r="H17"/>
  <c r="N35" i="20"/>
  <c r="G17" i="30"/>
  <c r="M35" i="20"/>
  <c r="F17" i="30"/>
  <c r="L35" i="20"/>
  <c r="E17" i="30"/>
  <c r="K35" i="20"/>
  <c r="D17" i="30"/>
  <c r="J35" i="20"/>
  <c r="C17" i="30"/>
  <c r="I35" i="20"/>
  <c r="B17" i="30"/>
  <c r="H35" i="20"/>
  <c r="N16" i="30"/>
  <c r="N15"/>
  <c r="N14"/>
  <c r="N13"/>
  <c r="N12"/>
  <c r="N11"/>
  <c r="N10"/>
  <c r="N9"/>
  <c r="N8"/>
  <c r="N7"/>
  <c r="N6"/>
  <c r="N5"/>
  <c r="N17"/>
  <c r="G1"/>
  <c r="M18" i="29"/>
  <c r="S33" i="20"/>
  <c r="L18" i="29"/>
  <c r="R33" i="20"/>
  <c r="K18" i="29"/>
  <c r="Q33" i="20"/>
  <c r="J18" i="29"/>
  <c r="P33" i="20"/>
  <c r="I18" i="29"/>
  <c r="O33" i="20"/>
  <c r="H18" i="29"/>
  <c r="N33" i="20"/>
  <c r="G18" i="29"/>
  <c r="M33" i="20"/>
  <c r="F18" i="29"/>
  <c r="L33" i="20"/>
  <c r="E18" i="29"/>
  <c r="K33" i="20"/>
  <c r="D18" i="29"/>
  <c r="J33" i="20"/>
  <c r="C18" i="29"/>
  <c r="I33" i="20"/>
  <c r="B18" i="29"/>
  <c r="H33" i="20"/>
  <c r="N17" i="29"/>
  <c r="N16"/>
  <c r="N15"/>
  <c r="N14"/>
  <c r="N13"/>
  <c r="N12"/>
  <c r="N11"/>
  <c r="N10"/>
  <c r="N9"/>
  <c r="N8"/>
  <c r="N7"/>
  <c r="N6"/>
  <c r="N4"/>
  <c r="G1"/>
  <c r="B21" i="15"/>
  <c r="I26" i="23"/>
  <c r="N14" i="15"/>
  <c r="N13"/>
  <c r="N12"/>
  <c r="N11"/>
  <c r="N10"/>
  <c r="N9"/>
  <c r="N8"/>
  <c r="N7"/>
  <c r="N12" i="27"/>
  <c r="N11"/>
  <c r="N10"/>
  <c r="N9"/>
  <c r="N8"/>
  <c r="N7"/>
  <c r="N6"/>
  <c r="F64" i="19"/>
  <c r="N17" i="8"/>
  <c r="N18"/>
  <c r="E64" i="19"/>
  <c r="L31" i="23"/>
  <c r="N26" i="1"/>
  <c r="D64" i="19"/>
  <c r="K31" i="23"/>
  <c r="U28" i="20"/>
  <c r="U29"/>
  <c r="U30"/>
  <c r="N9" i="8"/>
  <c r="N8" i="12"/>
  <c r="N7" i="8"/>
  <c r="N8"/>
  <c r="N13" i="18"/>
  <c r="N14"/>
  <c r="N14" i="17"/>
  <c r="C73" i="1"/>
  <c r="I12" i="20"/>
  <c r="C36" i="17"/>
  <c r="I25" i="20"/>
  <c r="C6" i="5"/>
  <c r="I15" i="20"/>
  <c r="T6"/>
  <c r="C24" i="8"/>
  <c r="I18" i="20"/>
  <c r="N7" i="17"/>
  <c r="T9" i="20"/>
  <c r="T8"/>
  <c r="N54" i="19"/>
  <c r="N55"/>
  <c r="N56"/>
  <c r="N57"/>
  <c r="N58"/>
  <c r="N60"/>
  <c r="N61"/>
  <c r="N62"/>
  <c r="N59"/>
  <c r="N34" i="18"/>
  <c r="N72" i="1"/>
  <c r="N19" i="8"/>
  <c r="N20" i="1"/>
  <c r="N31" i="18"/>
  <c r="N38" i="1"/>
  <c r="Q10" i="20"/>
  <c r="N70" i="1"/>
  <c r="N16" i="8"/>
  <c r="N25" i="1"/>
  <c r="N12"/>
  <c r="N63"/>
  <c r="N14"/>
  <c r="N15"/>
  <c r="N51" i="19"/>
  <c r="N13" i="1"/>
  <c r="N11"/>
  <c r="N45"/>
  <c r="N60"/>
  <c r="N15" i="8"/>
  <c r="N29" i="12"/>
  <c r="N26"/>
  <c r="N27"/>
  <c r="N29" i="18"/>
  <c r="N25" i="12"/>
  <c r="B33"/>
  <c r="H22" i="20"/>
  <c r="I73" i="1"/>
  <c r="O12" i="20"/>
  <c r="K73" i="1"/>
  <c r="Q12" i="20"/>
  <c r="L73" i="1"/>
  <c r="R12" i="20"/>
  <c r="M73" i="1"/>
  <c r="S12" i="20"/>
  <c r="N28" i="18"/>
  <c r="N27"/>
  <c r="N27" i="1"/>
  <c r="N66"/>
  <c r="N35"/>
  <c r="N10"/>
  <c r="N32"/>
  <c r="H73"/>
  <c r="N12" i="20"/>
  <c r="N18" i="1"/>
  <c r="N25" i="18"/>
  <c r="N24"/>
  <c r="N26"/>
  <c r="N30"/>
  <c r="N14" i="8"/>
  <c r="N24" i="12"/>
  <c r="N23" i="18"/>
  <c r="M10" i="20"/>
  <c r="N22" i="18"/>
  <c r="N69" i="1"/>
  <c r="N53"/>
  <c r="N12" i="8"/>
  <c r="N13"/>
  <c r="N5" i="1"/>
  <c r="N21" i="17"/>
  <c r="N22"/>
  <c r="N5" i="2"/>
  <c r="F73" i="1"/>
  <c r="L12" i="20"/>
  <c r="K10"/>
  <c r="N42" i="1"/>
  <c r="N48"/>
  <c r="N71"/>
  <c r="N46"/>
  <c r="N68"/>
  <c r="N23"/>
  <c r="N51"/>
  <c r="N4"/>
  <c r="N9" i="26"/>
  <c r="N8" i="18"/>
  <c r="N9"/>
  <c r="N10"/>
  <c r="N15"/>
  <c r="N16"/>
  <c r="N17"/>
  <c r="N18"/>
  <c r="N5" i="26"/>
  <c r="N6"/>
  <c r="N7"/>
  <c r="N8"/>
  <c r="N10"/>
  <c r="N40" i="1"/>
  <c r="N39"/>
  <c r="N54"/>
  <c r="N58"/>
  <c r="N59"/>
  <c r="N9"/>
  <c r="N41"/>
  <c r="N50"/>
  <c r="N16"/>
  <c r="D73"/>
  <c r="J12" i="20"/>
  <c r="N62" i="1"/>
  <c r="I10" i="20"/>
  <c r="N7" i="19"/>
  <c r="G1"/>
  <c r="G1" i="18"/>
  <c r="G1" i="26"/>
  <c r="G1" i="17"/>
  <c r="G1" i="15"/>
  <c r="G1" i="27"/>
  <c r="G1" i="25"/>
  <c r="G1" i="12"/>
  <c r="G1" i="11"/>
  <c r="G1" i="10"/>
  <c r="G1" i="9"/>
  <c r="G1" i="8"/>
  <c r="G1" i="7"/>
  <c r="G1" i="6"/>
  <c r="G1" i="5"/>
  <c r="G1" i="3"/>
  <c r="G1" i="2"/>
  <c r="G1" i="1"/>
  <c r="G73"/>
  <c r="M12" i="20"/>
  <c r="N17" i="1"/>
  <c r="H10" i="20"/>
  <c r="C6" i="11"/>
  <c r="I21" i="20"/>
  <c r="D6" i="11"/>
  <c r="J21" i="20"/>
  <c r="E6" i="11"/>
  <c r="K21" i="20"/>
  <c r="F6" i="11"/>
  <c r="M22" i="23"/>
  <c r="G6" i="11"/>
  <c r="M21" i="20"/>
  <c r="H6" i="11"/>
  <c r="N21" i="20"/>
  <c r="I6" i="11"/>
  <c r="O21" i="20"/>
  <c r="J6" i="11"/>
  <c r="P21" i="20"/>
  <c r="K6" i="11"/>
  <c r="Q21" i="20"/>
  <c r="L6" i="11"/>
  <c r="R21" i="20"/>
  <c r="M6" i="11"/>
  <c r="B6"/>
  <c r="I22" i="23"/>
  <c r="N5" i="10"/>
  <c r="N4" i="19"/>
  <c r="B36" i="17"/>
  <c r="H25" i="20"/>
  <c r="B45" i="18"/>
  <c r="H26" i="20"/>
  <c r="B73" i="1"/>
  <c r="H12" i="20"/>
  <c r="M24" i="27"/>
  <c r="S23" i="20"/>
  <c r="L24" i="27"/>
  <c r="R23" i="20"/>
  <c r="K24" i="27"/>
  <c r="Q23" i="20"/>
  <c r="J24" i="27"/>
  <c r="P23" i="20"/>
  <c r="I24" i="27"/>
  <c r="O23" i="20"/>
  <c r="H24" i="27"/>
  <c r="N23" i="20"/>
  <c r="G24" i="27"/>
  <c r="M23" i="20"/>
  <c r="F24" i="27"/>
  <c r="L23" i="20"/>
  <c r="E24" i="27"/>
  <c r="K23" i="20"/>
  <c r="D24" i="27"/>
  <c r="J23" i="20"/>
  <c r="C24" i="27"/>
  <c r="I23" i="20"/>
  <c r="B24" i="27"/>
  <c r="H23" i="20"/>
  <c r="N23" i="27"/>
  <c r="N19"/>
  <c r="N18"/>
  <c r="N15"/>
  <c r="N14"/>
  <c r="N13"/>
  <c r="N5"/>
  <c r="N4"/>
  <c r="N3"/>
  <c r="N8" i="19"/>
  <c r="N9"/>
  <c r="N10"/>
  <c r="N11"/>
  <c r="N52"/>
  <c r="N53"/>
  <c r="N63"/>
  <c r="N3" i="11"/>
  <c r="N6"/>
  <c r="N6" i="10"/>
  <c r="B24" i="8"/>
  <c r="H18" i="20"/>
  <c r="N6" i="1"/>
  <c r="N44"/>
  <c r="N61"/>
  <c r="N24"/>
  <c r="N34"/>
  <c r="N33"/>
  <c r="N29"/>
  <c r="N7"/>
  <c r="N65"/>
  <c r="N28"/>
  <c r="N22"/>
  <c r="N67"/>
  <c r="S10" i="20"/>
  <c r="N52" i="1"/>
  <c r="N29" i="17"/>
  <c r="N5" i="12"/>
  <c r="N20"/>
  <c r="N19"/>
  <c r="N18"/>
  <c r="N17"/>
  <c r="N22"/>
  <c r="N21"/>
  <c r="N23"/>
  <c r="N16"/>
  <c r="N19" i="18"/>
  <c r="N4" i="12"/>
  <c r="N6"/>
  <c r="C33"/>
  <c r="I22" i="20"/>
  <c r="D33" i="12"/>
  <c r="J22" i="20"/>
  <c r="E33" i="12"/>
  <c r="L23" i="23"/>
  <c r="F33" i="12"/>
  <c r="M23" i="23"/>
  <c r="G33" i="12"/>
  <c r="M22" i="20"/>
  <c r="H33" i="12"/>
  <c r="N22" i="20"/>
  <c r="I33" i="12"/>
  <c r="O22" i="20"/>
  <c r="J33" i="12"/>
  <c r="P22" i="20"/>
  <c r="K33" i="12"/>
  <c r="Q22" i="20"/>
  <c r="M33" i="12"/>
  <c r="S22" i="20"/>
  <c r="L33" i="12"/>
  <c r="R22" i="20"/>
  <c r="N10" i="8"/>
  <c r="N11"/>
  <c r="N3" i="12"/>
  <c r="N47" i="1"/>
  <c r="N12" i="12"/>
  <c r="N64" i="1"/>
  <c r="N19"/>
  <c r="N43"/>
  <c r="N7" i="18"/>
  <c r="N6"/>
  <c r="N24" i="17"/>
  <c r="N25"/>
  <c r="N26"/>
  <c r="N27"/>
  <c r="N28"/>
  <c r="R10" i="20"/>
  <c r="C10" i="2"/>
  <c r="I13" i="20"/>
  <c r="D10" i="2"/>
  <c r="K13" i="23"/>
  <c r="E10" i="2"/>
  <c r="K13" i="20"/>
  <c r="F10" i="2"/>
  <c r="M13" i="23"/>
  <c r="G10" i="2"/>
  <c r="H10"/>
  <c r="N13" i="20"/>
  <c r="I10" i="2"/>
  <c r="O13" i="20"/>
  <c r="J10" i="2"/>
  <c r="P13" i="20"/>
  <c r="K10" i="2"/>
  <c r="Q13" i="20"/>
  <c r="L10" i="2"/>
  <c r="R13" i="20"/>
  <c r="M10" i="2"/>
  <c r="S13" i="20"/>
  <c r="B10" i="2"/>
  <c r="I13" i="23"/>
  <c r="N8" i="2"/>
  <c r="N9" i="12"/>
  <c r="N4" i="15"/>
  <c r="N49" i="1"/>
  <c r="N37"/>
  <c r="N36"/>
  <c r="N57"/>
  <c r="N55"/>
  <c r="N56"/>
  <c r="P10" i="20"/>
  <c r="N31" i="23"/>
  <c r="E36" i="17"/>
  <c r="K25" i="20"/>
  <c r="N5" i="19"/>
  <c r="N5" i="5"/>
  <c r="T7" i="20"/>
  <c r="C5" i="6"/>
  <c r="I16" i="20"/>
  <c r="D5" i="6"/>
  <c r="K17" i="23"/>
  <c r="E5" i="6"/>
  <c r="L17" i="23"/>
  <c r="F5" i="6"/>
  <c r="G5"/>
  <c r="M16" i="20"/>
  <c r="H5" i="6"/>
  <c r="I5"/>
  <c r="O16" i="20"/>
  <c r="J5" i="6"/>
  <c r="P16" i="20"/>
  <c r="K5" i="6"/>
  <c r="Q16" i="20"/>
  <c r="L5" i="6"/>
  <c r="R16" i="20"/>
  <c r="M5" i="6"/>
  <c r="S16" i="20"/>
  <c r="B5" i="6"/>
  <c r="I17" i="23"/>
  <c r="N3" i="6"/>
  <c r="N23" i="17"/>
  <c r="N5" i="18"/>
  <c r="N4"/>
  <c r="O10" i="20"/>
  <c r="N20" i="18"/>
  <c r="N21"/>
  <c r="N44"/>
  <c r="N18" i="17"/>
  <c r="N19"/>
  <c r="N20"/>
  <c r="N15"/>
  <c r="N35"/>
  <c r="D45" i="18"/>
  <c r="K29" i="23"/>
  <c r="E45" i="18"/>
  <c r="L29" i="23"/>
  <c r="G45" i="18"/>
  <c r="H45"/>
  <c r="N26" i="20"/>
  <c r="I45" i="18"/>
  <c r="O26" i="20"/>
  <c r="J45" i="18"/>
  <c r="P26" i="20"/>
  <c r="K45" i="18"/>
  <c r="Q26" i="20"/>
  <c r="L45" i="18"/>
  <c r="R26" i="20"/>
  <c r="M45" i="18"/>
  <c r="S26" i="20"/>
  <c r="D36" i="17"/>
  <c r="J25" i="20"/>
  <c r="F36" i="17"/>
  <c r="M28" i="23"/>
  <c r="G36" i="17"/>
  <c r="H36"/>
  <c r="N25" i="20"/>
  <c r="I36" i="17"/>
  <c r="O25" i="20"/>
  <c r="J36" i="17"/>
  <c r="P25" i="20"/>
  <c r="K36" i="17"/>
  <c r="Q25" i="20"/>
  <c r="L36" i="17"/>
  <c r="R25" i="20"/>
  <c r="M36" i="17"/>
  <c r="S25" i="20"/>
  <c r="E17" i="25"/>
  <c r="K32" i="20"/>
  <c r="F17" i="25"/>
  <c r="L32" i="20"/>
  <c r="G17" i="25"/>
  <c r="M32" i="20"/>
  <c r="H17" i="25"/>
  <c r="N32" i="20"/>
  <c r="I17" i="25"/>
  <c r="O32" i="20"/>
  <c r="J17" i="25"/>
  <c r="P32" i="20"/>
  <c r="K17" i="25"/>
  <c r="Q32" i="20"/>
  <c r="L17" i="25"/>
  <c r="M17"/>
  <c r="S21" i="20"/>
  <c r="N5" i="11"/>
  <c r="N4"/>
  <c r="E7" i="10"/>
  <c r="L21" i="23"/>
  <c r="F7" i="10"/>
  <c r="M21" i="23"/>
  <c r="G7" i="10"/>
  <c r="H7"/>
  <c r="N20" i="20"/>
  <c r="I7" i="10"/>
  <c r="O20" i="20"/>
  <c r="J7" i="10"/>
  <c r="P20" i="20"/>
  <c r="K7" i="10"/>
  <c r="Q20" i="20"/>
  <c r="L7" i="10"/>
  <c r="R20" i="20"/>
  <c r="M7" i="10"/>
  <c r="S20" i="20"/>
  <c r="N4" i="10"/>
  <c r="N4" i="9"/>
  <c r="N5"/>
  <c r="N6"/>
  <c r="N7"/>
  <c r="N8"/>
  <c r="N9"/>
  <c r="N3"/>
  <c r="E10"/>
  <c r="L20" i="23"/>
  <c r="F10" i="9"/>
  <c r="G10"/>
  <c r="M19" i="20"/>
  <c r="H10" i="9"/>
  <c r="I10"/>
  <c r="O19" i="20"/>
  <c r="J10" i="9"/>
  <c r="P19" i="20"/>
  <c r="K10" i="9"/>
  <c r="Q19" i="20"/>
  <c r="L10" i="9"/>
  <c r="R19" i="20"/>
  <c r="M10" i="9"/>
  <c r="S19" i="20"/>
  <c r="E24" i="8"/>
  <c r="K18" i="20"/>
  <c r="F24" i="8"/>
  <c r="M19" i="23"/>
  <c r="G24" i="8"/>
  <c r="N19" i="23"/>
  <c r="H24" i="8"/>
  <c r="I24"/>
  <c r="O18" i="20"/>
  <c r="J24" i="8"/>
  <c r="P18" i="20"/>
  <c r="K24" i="8"/>
  <c r="Q18" i="20"/>
  <c r="L24" i="8"/>
  <c r="R18" i="20"/>
  <c r="M24" i="8"/>
  <c r="S18" i="20"/>
  <c r="N3" i="8"/>
  <c r="N4"/>
  <c r="N5"/>
  <c r="N6"/>
  <c r="G6" i="7"/>
  <c r="M17" i="20"/>
  <c r="J6" i="7"/>
  <c r="P17" i="20"/>
  <c r="K6" i="7"/>
  <c r="Q17" i="20"/>
  <c r="L6" i="7"/>
  <c r="R17" i="20"/>
  <c r="M6" i="7"/>
  <c r="S17" i="20"/>
  <c r="G6" i="5"/>
  <c r="M15" i="20"/>
  <c r="I6" i="5"/>
  <c r="O15" i="20"/>
  <c r="J6" i="5"/>
  <c r="P15" i="20"/>
  <c r="K6" i="5"/>
  <c r="Q15" i="20"/>
  <c r="L6" i="5"/>
  <c r="R15" i="20"/>
  <c r="M6" i="5"/>
  <c r="S15" i="20"/>
  <c r="N4" i="2"/>
  <c r="N6"/>
  <c r="N7"/>
  <c r="N10" i="12"/>
  <c r="N11"/>
  <c r="N13"/>
  <c r="N14"/>
  <c r="N15"/>
  <c r="N32"/>
  <c r="N7"/>
  <c r="N4" i="3"/>
  <c r="N5"/>
  <c r="E6"/>
  <c r="K14" i="20"/>
  <c r="F6" i="3"/>
  <c r="L14" i="20"/>
  <c r="G6" i="3"/>
  <c r="M14" i="20"/>
  <c r="H6" i="3"/>
  <c r="N14" i="20"/>
  <c r="I6" i="3"/>
  <c r="O14" i="20"/>
  <c r="J6" i="3"/>
  <c r="P14" i="20"/>
  <c r="K6" i="3"/>
  <c r="Q14" i="20"/>
  <c r="L6" i="3"/>
  <c r="R14" i="20"/>
  <c r="M6" i="3"/>
  <c r="S14" i="20"/>
  <c r="D6" i="3"/>
  <c r="K14" i="23"/>
  <c r="F45" i="18"/>
  <c r="M29" i="23"/>
  <c r="T30" i="20"/>
  <c r="N4" i="26"/>
  <c r="C11"/>
  <c r="I28" i="20"/>
  <c r="D11" i="26"/>
  <c r="J28" i="20"/>
  <c r="E11" i="26"/>
  <c r="K28" i="20"/>
  <c r="F11" i="26"/>
  <c r="L28" i="20"/>
  <c r="G11" i="26"/>
  <c r="H11"/>
  <c r="I11"/>
  <c r="J11"/>
  <c r="K11"/>
  <c r="L11"/>
  <c r="M11"/>
  <c r="B11"/>
  <c r="H28" i="20"/>
  <c r="N12" i="25"/>
  <c r="N13"/>
  <c r="N14"/>
  <c r="N15"/>
  <c r="N16"/>
  <c r="N5"/>
  <c r="N6"/>
  <c r="N11"/>
  <c r="C10" i="9"/>
  <c r="J20" i="23"/>
  <c r="D10" i="9"/>
  <c r="J19" i="20"/>
  <c r="B10" i="9"/>
  <c r="I20" i="23"/>
  <c r="D17" i="25"/>
  <c r="J32" i="20"/>
  <c r="C17" i="25"/>
  <c r="I32" i="20"/>
  <c r="B17" i="25"/>
  <c r="H32" i="20"/>
  <c r="N10" i="25"/>
  <c r="N9"/>
  <c r="N8"/>
  <c r="N7"/>
  <c r="N4"/>
  <c r="N4" i="5"/>
  <c r="G9" i="20"/>
  <c r="U9"/>
  <c r="N22" i="23"/>
  <c r="N10" i="20"/>
  <c r="T32" i="23"/>
  <c r="S32"/>
  <c r="R32"/>
  <c r="Q32"/>
  <c r="P32"/>
  <c r="O32"/>
  <c r="G31"/>
  <c r="V31"/>
  <c r="N30"/>
  <c r="G30"/>
  <c r="V30"/>
  <c r="G29"/>
  <c r="V29"/>
  <c r="G28"/>
  <c r="V28"/>
  <c r="G27"/>
  <c r="V27"/>
  <c r="G26"/>
  <c r="V26"/>
  <c r="G25"/>
  <c r="V25"/>
  <c r="F24"/>
  <c r="G23"/>
  <c r="V23"/>
  <c r="G22"/>
  <c r="V22"/>
  <c r="G21"/>
  <c r="V21"/>
  <c r="G20"/>
  <c r="V20"/>
  <c r="G19"/>
  <c r="V19"/>
  <c r="G18"/>
  <c r="V18"/>
  <c r="G17"/>
  <c r="V17"/>
  <c r="G16"/>
  <c r="V16"/>
  <c r="N15"/>
  <c r="M15"/>
  <c r="L15"/>
  <c r="K15"/>
  <c r="J15"/>
  <c r="I15"/>
  <c r="U15"/>
  <c r="G15"/>
  <c r="V15"/>
  <c r="G14"/>
  <c r="V14"/>
  <c r="G13"/>
  <c r="V13"/>
  <c r="G12"/>
  <c r="V12"/>
  <c r="N10"/>
  <c r="M10"/>
  <c r="L10"/>
  <c r="K10"/>
  <c r="J10"/>
  <c r="H10"/>
  <c r="F10"/>
  <c r="V9"/>
  <c r="W9"/>
  <c r="I9"/>
  <c r="U9"/>
  <c r="U8"/>
  <c r="I7"/>
  <c r="G7"/>
  <c r="V7"/>
  <c r="U6"/>
  <c r="U5"/>
  <c r="G5"/>
  <c r="V5"/>
  <c r="N12"/>
  <c r="N13" i="17"/>
  <c r="N16"/>
  <c r="N19" i="20"/>
  <c r="N17" i="17"/>
  <c r="M12" i="23"/>
  <c r="D24" i="8"/>
  <c r="J18" i="20"/>
  <c r="N18"/>
  <c r="L10"/>
  <c r="K19" i="23"/>
  <c r="J10" i="20"/>
  <c r="G7"/>
  <c r="U7"/>
  <c r="D7" i="10"/>
  <c r="J20" i="20"/>
  <c r="D6" i="5"/>
  <c r="K16" i="23"/>
  <c r="N16" i="20"/>
  <c r="C6" i="7"/>
  <c r="I17" i="20"/>
  <c r="C7" i="10"/>
  <c r="I20" i="20"/>
  <c r="B7" i="10"/>
  <c r="I21" i="23"/>
  <c r="C21" i="15"/>
  <c r="I24" i="20"/>
  <c r="D21" i="15"/>
  <c r="J24" i="20"/>
  <c r="E21" i="15"/>
  <c r="K24" i="20"/>
  <c r="F21" i="15"/>
  <c r="L24" i="20"/>
  <c r="G21" i="15"/>
  <c r="M24" i="20"/>
  <c r="H21" i="15"/>
  <c r="N24" i="20"/>
  <c r="I21" i="15"/>
  <c r="O24" i="20"/>
  <c r="J21" i="15"/>
  <c r="P24" i="20"/>
  <c r="K21" i="15"/>
  <c r="Q24" i="20"/>
  <c r="L21" i="15"/>
  <c r="R24" i="20"/>
  <c r="M21" i="15"/>
  <c r="S24" i="20"/>
  <c r="M30" i="23"/>
  <c r="K24"/>
  <c r="J16" i="20"/>
  <c r="L27" i="23"/>
  <c r="K30"/>
  <c r="I30"/>
  <c r="K16" i="20"/>
  <c r="J27" i="23"/>
  <c r="M27"/>
  <c r="J30"/>
  <c r="K27"/>
  <c r="L30"/>
  <c r="L16" i="20"/>
  <c r="M17" i="23"/>
  <c r="M20" i="20"/>
  <c r="N21" i="23"/>
  <c r="J24"/>
  <c r="N27"/>
  <c r="N24"/>
  <c r="T31" i="21"/>
  <c r="U31"/>
  <c r="S33"/>
  <c r="R33"/>
  <c r="Q33"/>
  <c r="P33"/>
  <c r="O33"/>
  <c r="N33"/>
  <c r="M33"/>
  <c r="L33"/>
  <c r="K33"/>
  <c r="J33"/>
  <c r="I33"/>
  <c r="T32"/>
  <c r="U32"/>
  <c r="G32"/>
  <c r="G31"/>
  <c r="T30"/>
  <c r="U30"/>
  <c r="G30"/>
  <c r="T29"/>
  <c r="G29"/>
  <c r="U29"/>
  <c r="T28"/>
  <c r="G28"/>
  <c r="U28"/>
  <c r="T27"/>
  <c r="U27"/>
  <c r="G27"/>
  <c r="T26"/>
  <c r="U26"/>
  <c r="G26"/>
  <c r="T25"/>
  <c r="G25"/>
  <c r="U25"/>
  <c r="T24"/>
  <c r="F24"/>
  <c r="F33"/>
  <c r="T23"/>
  <c r="U23"/>
  <c r="G23"/>
  <c r="T22"/>
  <c r="G22"/>
  <c r="U22"/>
  <c r="T21"/>
  <c r="G21"/>
  <c r="U21"/>
  <c r="T20"/>
  <c r="U20"/>
  <c r="G20"/>
  <c r="T19"/>
  <c r="G19"/>
  <c r="U19"/>
  <c r="T18"/>
  <c r="G18"/>
  <c r="T17"/>
  <c r="G17"/>
  <c r="U17"/>
  <c r="T16"/>
  <c r="G16"/>
  <c r="T15"/>
  <c r="G15"/>
  <c r="T14"/>
  <c r="G14"/>
  <c r="T13"/>
  <c r="G13"/>
  <c r="U13"/>
  <c r="H33"/>
  <c r="G12"/>
  <c r="U12"/>
  <c r="F10"/>
  <c r="H9"/>
  <c r="H10"/>
  <c r="T8"/>
  <c r="T7"/>
  <c r="T6"/>
  <c r="T5"/>
  <c r="G4"/>
  <c r="G10"/>
  <c r="G27" i="20"/>
  <c r="U27"/>
  <c r="G26"/>
  <c r="U26"/>
  <c r="G25"/>
  <c r="U25"/>
  <c r="G24"/>
  <c r="U24"/>
  <c r="G22"/>
  <c r="U22"/>
  <c r="G21"/>
  <c r="U21"/>
  <c r="G20"/>
  <c r="U20"/>
  <c r="G19"/>
  <c r="U19"/>
  <c r="G18"/>
  <c r="U18"/>
  <c r="G17"/>
  <c r="U17"/>
  <c r="G16"/>
  <c r="U16"/>
  <c r="G15"/>
  <c r="U15"/>
  <c r="G14"/>
  <c r="U14"/>
  <c r="G13"/>
  <c r="U13"/>
  <c r="G12"/>
  <c r="U12"/>
  <c r="F10"/>
  <c r="G6"/>
  <c r="I27" i="23"/>
  <c r="U27"/>
  <c r="T29" i="20"/>
  <c r="U30" i="23"/>
  <c r="W30"/>
  <c r="U15" i="21"/>
  <c r="T4"/>
  <c r="T12"/>
  <c r="T33"/>
  <c r="G24"/>
  <c r="U24"/>
  <c r="G23" i="20"/>
  <c r="U23"/>
  <c r="B6" i="5"/>
  <c r="H15" i="20"/>
  <c r="B6" i="7"/>
  <c r="I18" i="23"/>
  <c r="N3" i="18"/>
  <c r="N12" i="17"/>
  <c r="N11"/>
  <c r="N5"/>
  <c r="N4"/>
  <c r="N3" i="7"/>
  <c r="N4" i="6"/>
  <c r="N3" i="2"/>
  <c r="N21" i="1"/>
  <c r="N8"/>
  <c r="C6" i="3"/>
  <c r="I14" i="20"/>
  <c r="B6" i="3"/>
  <c r="H14" i="20"/>
  <c r="J12" i="23"/>
  <c r="M20"/>
  <c r="L19" i="20"/>
  <c r="H16"/>
  <c r="J19" i="23"/>
  <c r="L12"/>
  <c r="J25"/>
  <c r="I12"/>
  <c r="K12"/>
  <c r="M25"/>
  <c r="J28"/>
  <c r="N17"/>
  <c r="J31"/>
  <c r="M27" i="20"/>
  <c r="L22"/>
  <c r="L18"/>
  <c r="L20"/>
  <c r="M14" i="23"/>
  <c r="K25"/>
  <c r="L21" i="20"/>
  <c r="N20" i="23"/>
  <c r="W27"/>
  <c r="K28"/>
  <c r="I25"/>
  <c r="U25"/>
  <c r="W25"/>
  <c r="T9" i="21"/>
  <c r="T10"/>
  <c r="L13" i="20"/>
  <c r="G10" i="23"/>
  <c r="V10"/>
  <c r="W15"/>
  <c r="W5"/>
  <c r="F32"/>
  <c r="G24"/>
  <c r="V24"/>
  <c r="L25"/>
  <c r="M24"/>
  <c r="U12"/>
  <c r="I14"/>
  <c r="I24"/>
  <c r="U24"/>
  <c r="K21"/>
  <c r="K22"/>
  <c r="N25"/>
  <c r="M26" i="20"/>
  <c r="N29" i="23"/>
  <c r="N13"/>
  <c r="M13" i="20"/>
  <c r="J13" i="23"/>
  <c r="K19" i="20"/>
  <c r="L24" i="23"/>
  <c r="N28"/>
  <c r="M25" i="20"/>
  <c r="M31" i="23"/>
  <c r="L27" i="20"/>
  <c r="U6"/>
  <c r="U14" i="21"/>
  <c r="U16"/>
  <c r="U18"/>
  <c r="U33"/>
  <c r="N18" i="23"/>
  <c r="U7"/>
  <c r="W7"/>
  <c r="I10"/>
  <c r="U10"/>
  <c r="W10"/>
  <c r="G32"/>
  <c r="V32"/>
  <c r="K26"/>
  <c r="I29"/>
  <c r="K27" i="20"/>
  <c r="K20"/>
  <c r="L22" i="23"/>
  <c r="J22"/>
  <c r="U22"/>
  <c r="W22"/>
  <c r="N17" i="25"/>
  <c r="N19"/>
  <c r="K23" i="23"/>
  <c r="J14" i="20"/>
  <c r="J15"/>
  <c r="N8" i="11"/>
  <c r="J17" i="23"/>
  <c r="J26" i="20"/>
  <c r="V9"/>
  <c r="N33" i="12"/>
  <c r="N35"/>
  <c r="L13" i="23"/>
  <c r="I19" i="20"/>
  <c r="H19"/>
  <c r="T19"/>
  <c r="V19"/>
  <c r="N6" i="3"/>
  <c r="N8"/>
  <c r="J16" i="23"/>
  <c r="I31"/>
  <c r="J27" i="20"/>
  <c r="I19" i="23"/>
  <c r="H24" i="20"/>
  <c r="I23" i="23"/>
  <c r="I28"/>
  <c r="H13" i="20"/>
  <c r="N7" i="10"/>
  <c r="N9"/>
  <c r="H21" i="20"/>
  <c r="T10"/>
  <c r="V30"/>
  <c r="T35"/>
  <c r="V35"/>
  <c r="T28"/>
  <c r="V28"/>
  <c r="V29"/>
  <c r="U10"/>
  <c r="U38"/>
  <c r="G10"/>
  <c r="T33"/>
  <c r="V33"/>
  <c r="T32"/>
  <c r="V32"/>
  <c r="U31" i="23"/>
  <c r="W31"/>
  <c r="K26" i="20"/>
  <c r="L26"/>
  <c r="N11" i="26"/>
  <c r="N13"/>
  <c r="L28" i="23"/>
  <c r="U28"/>
  <c r="W28"/>
  <c r="L25" i="20"/>
  <c r="T25"/>
  <c r="V25"/>
  <c r="N21" i="15"/>
  <c r="N23"/>
  <c r="L26" i="23"/>
  <c r="M26"/>
  <c r="N26"/>
  <c r="J26"/>
  <c r="T24" i="20"/>
  <c r="V24"/>
  <c r="N24" i="27"/>
  <c r="N26"/>
  <c r="K22" i="20"/>
  <c r="T22"/>
  <c r="V22"/>
  <c r="J23" i="23"/>
  <c r="N23"/>
  <c r="K20"/>
  <c r="U20"/>
  <c r="W20"/>
  <c r="N10" i="9"/>
  <c r="N12"/>
  <c r="J21" i="23"/>
  <c r="U21"/>
  <c r="W21"/>
  <c r="L19"/>
  <c r="U19"/>
  <c r="W19"/>
  <c r="H17" i="20"/>
  <c r="U17" i="23"/>
  <c r="W17"/>
  <c r="T16" i="20"/>
  <c r="V16"/>
  <c r="L18" i="23"/>
  <c r="J18"/>
  <c r="N16"/>
  <c r="I16"/>
  <c r="J14"/>
  <c r="J32"/>
  <c r="N14"/>
  <c r="N32"/>
  <c r="L14"/>
  <c r="U14"/>
  <c r="W14"/>
  <c r="K32"/>
  <c r="I32"/>
  <c r="J13" i="20"/>
  <c r="T13"/>
  <c r="V13"/>
  <c r="N10" i="2"/>
  <c r="N12"/>
  <c r="Q38" i="20"/>
  <c r="N5" i="6"/>
  <c r="N7"/>
  <c r="N73" i="1"/>
  <c r="N12" i="32"/>
  <c r="N14"/>
  <c r="N38" i="20"/>
  <c r="N24" i="8"/>
  <c r="N26"/>
  <c r="N36" i="17"/>
  <c r="N38"/>
  <c r="T23" i="20"/>
  <c r="V23"/>
  <c r="O38"/>
  <c r="N45" i="18"/>
  <c r="P38" i="20"/>
  <c r="R38"/>
  <c r="N18" i="29"/>
  <c r="N20"/>
  <c r="S38" i="20"/>
  <c r="T21"/>
  <c r="V21"/>
  <c r="V6"/>
  <c r="U13" i="23"/>
  <c r="W13"/>
  <c r="W12"/>
  <c r="W24"/>
  <c r="T14" i="20"/>
  <c r="V14"/>
  <c r="T36"/>
  <c r="V36"/>
  <c r="V7"/>
  <c r="T37"/>
  <c r="V37"/>
  <c r="N4" i="7"/>
  <c r="N6"/>
  <c r="D6"/>
  <c r="G38" i="20"/>
  <c r="G33" i="21"/>
  <c r="M18" i="23"/>
  <c r="H20" i="20"/>
  <c r="N6" i="19"/>
  <c r="N64"/>
  <c r="N66"/>
  <c r="C45" i="18"/>
  <c r="M18" i="20"/>
  <c r="M38"/>
  <c r="E73" i="1"/>
  <c r="K12" i="20"/>
  <c r="F6" i="5"/>
  <c r="U26" i="23"/>
  <c r="W26"/>
  <c r="T27" i="20"/>
  <c r="V27"/>
  <c r="L32" i="23"/>
  <c r="V10" i="20"/>
  <c r="U23" i="23"/>
  <c r="W23"/>
  <c r="N8" i="7"/>
  <c r="W32" i="23"/>
  <c r="U32"/>
  <c r="M16"/>
  <c r="M32"/>
  <c r="L15" i="20"/>
  <c r="L38"/>
  <c r="I26"/>
  <c r="J29" i="23"/>
  <c r="U29"/>
  <c r="W29"/>
  <c r="N74" i="1"/>
  <c r="T18" i="20"/>
  <c r="V18"/>
  <c r="N47" i="18"/>
  <c r="T12" i="20"/>
  <c r="E6" i="5"/>
  <c r="N3"/>
  <c r="N6"/>
  <c r="H38" i="20"/>
  <c r="T20"/>
  <c r="V20"/>
  <c r="J17"/>
  <c r="K18" i="23"/>
  <c r="U18"/>
  <c r="W18"/>
  <c r="N8" i="5"/>
  <c r="T26" i="20"/>
  <c r="V26"/>
  <c r="I38"/>
  <c r="T17"/>
  <c r="V17"/>
  <c r="J38"/>
  <c r="K15"/>
  <c r="L16" i="23"/>
  <c r="U16"/>
  <c r="W16"/>
  <c r="V12" i="20"/>
  <c r="T15"/>
  <c r="K38"/>
  <c r="V15"/>
  <c r="V38"/>
  <c r="T38"/>
</calcChain>
</file>

<file path=xl/comments1.xml><?xml version="1.0" encoding="utf-8"?>
<comments xmlns="http://schemas.openxmlformats.org/spreadsheetml/2006/main">
  <authors>
    <author>soglasie1@outlook.com</author>
  </authors>
  <commentList>
    <comment ref="P33" authorId="0">
      <text>
        <r>
          <rPr>
            <b/>
            <sz val="9"/>
            <color indexed="81"/>
            <rFont val="Tahoma"/>
            <family val="2"/>
            <charset val="204"/>
          </rPr>
          <t>soglasie1@outlook.com:</t>
        </r>
        <r>
          <rPr>
            <sz val="9"/>
            <color indexed="81"/>
            <rFont val="Tahoma"/>
            <family val="2"/>
            <charset val="204"/>
          </rPr>
          <t xml:space="preserve">
госпошлина</t>
        </r>
      </text>
    </comment>
    <comment ref="P36" authorId="0">
      <text>
        <r>
          <rPr>
            <b/>
            <sz val="9"/>
            <color indexed="81"/>
            <rFont val="Tahoma"/>
            <family val="2"/>
            <charset val="204"/>
          </rPr>
          <t>soglasie1@outlook.com:</t>
        </r>
        <r>
          <rPr>
            <sz val="9"/>
            <color indexed="81"/>
            <rFont val="Tahoma"/>
            <family val="2"/>
            <charset val="204"/>
          </rPr>
          <t xml:space="preserve">
настройка шкафа</t>
        </r>
      </text>
    </comment>
  </commentList>
</comments>
</file>

<file path=xl/sharedStrings.xml><?xml version="1.0" encoding="utf-8"?>
<sst xmlns="http://schemas.openxmlformats.org/spreadsheetml/2006/main" count="647" uniqueCount="249">
  <si>
    <t>Общехозяйственные расходы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</si>
  <si>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</si>
  <si>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</si>
  <si>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</si>
  <si>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</si>
  <si>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</si>
  <si>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</si>
  <si>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</si>
  <si>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</si>
  <si>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</si>
  <si>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</si>
  <si>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</si>
  <si>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</si>
  <si>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 xml:space="preserve">Обслуж банка </t>
  </si>
  <si>
    <t>ИТОГО</t>
  </si>
  <si>
    <t>Программное обеспечение</t>
  </si>
  <si>
    <t>Услуги связи</t>
  </si>
  <si>
    <t>Юридические услуги</t>
  </si>
  <si>
    <t>Заработная плата</t>
  </si>
  <si>
    <t>Премиальный фонд</t>
  </si>
  <si>
    <t>Налог с ФОТ</t>
  </si>
  <si>
    <t>Приобретение инструментов и хоз инвентаря</t>
  </si>
  <si>
    <t>Вывоз мусора</t>
  </si>
  <si>
    <t>Содержание охраны</t>
  </si>
  <si>
    <t>Содержание газового оборудования</t>
  </si>
  <si>
    <t>Содержание сетей водоснабжения</t>
  </si>
  <si>
    <t>Содержание сетей канализации</t>
  </si>
  <si>
    <t>Электроэнергия на общие нужды</t>
  </si>
  <si>
    <t>Технические и коммерческие потери</t>
  </si>
  <si>
    <t>Содержание дорог и уборка территории</t>
  </si>
  <si>
    <t xml:space="preserve">Благоустройство территории </t>
  </si>
  <si>
    <t>Бензин АИ 92</t>
  </si>
  <si>
    <t>Резервный фонд</t>
  </si>
  <si>
    <t>Бензин Аи-95</t>
  </si>
  <si>
    <t xml:space="preserve">  Статья поступления денежных средств</t>
  </si>
  <si>
    <t>Ост денег</t>
  </si>
  <si>
    <t xml:space="preserve">итого с </t>
  </si>
  <si>
    <t>Поступление денеж средств от сбора член взноса</t>
  </si>
  <si>
    <t>ЦФ вступительный  взнос новых членов</t>
  </si>
  <si>
    <t>ЦФ Взнос на содержание дорог (оплата въезда)</t>
  </si>
  <si>
    <t>ЦФ взнос на реконструкцию газопровода</t>
  </si>
  <si>
    <t>Пени за несвоевр уплату член взносов+ штраф</t>
  </si>
  <si>
    <t>Коммерч деятельн +договора на обслуживание</t>
  </si>
  <si>
    <t xml:space="preserve">      ИТОГО</t>
  </si>
  <si>
    <t xml:space="preserve">   Расходная часть финансового плана по статьям (использование член взносов)</t>
  </si>
  <si>
    <t>экономия</t>
  </si>
  <si>
    <t>Заработная плата    (15 человек)</t>
  </si>
  <si>
    <t>Приобретение инструмент, инвентарь,оборуд</t>
  </si>
  <si>
    <t>Содержание сетей канализ. и рем.очист. сооруж.</t>
  </si>
  <si>
    <t>Содержание сетей электроснабжения</t>
  </si>
  <si>
    <t>Э/энергия на общие нужды</t>
  </si>
  <si>
    <t>Резерв оборот ср-в на покрытие несвоеврем опл</t>
  </si>
  <si>
    <t>Благоустройство территории</t>
  </si>
  <si>
    <t>Оформление земель общего пользования</t>
  </si>
  <si>
    <t>Резервный фонд 5%</t>
  </si>
  <si>
    <t xml:space="preserve"> ИТОГО РАСХОДЫ</t>
  </si>
  <si>
    <t xml:space="preserve"> 01.06.16</t>
  </si>
  <si>
    <t xml:space="preserve">Исполнение финансового плана за период с июня 2016 по май  2017 года </t>
  </si>
  <si>
    <t>Финансовый план ДНТ "КП"Согласие" на 2016-2017 гг</t>
  </si>
  <si>
    <t>Бюджет на 2016/2017 гг.Лимит на</t>
  </si>
  <si>
    <t xml:space="preserve">Месячный </t>
  </si>
  <si>
    <t>бюджет</t>
  </si>
  <si>
    <t>Фактически</t>
  </si>
  <si>
    <t xml:space="preserve">Исполнение финансового плана ДНТ "КП "Согласие" за период с июня 2016 по май  2017 года </t>
  </si>
  <si>
    <t>Статьи расходования денежных средств</t>
  </si>
  <si>
    <t>Статьи поступления денежных средств</t>
  </si>
  <si>
    <t xml:space="preserve">      ИТОГО ВЗНОСЫ И ДОХОДЫ</t>
  </si>
  <si>
    <t xml:space="preserve">     ИТОГО РАСХОДЫ</t>
  </si>
  <si>
    <t>ИТОГО:</t>
  </si>
  <si>
    <t>Пени за несв. уплату член взн.+ штраф</t>
  </si>
  <si>
    <t>Содерж. сетей канализ. и ремонт ОС</t>
  </si>
  <si>
    <t>Недобор(-) Перевыполн.(+)</t>
  </si>
  <si>
    <t>Экономия(+)    Перерасход(-)</t>
  </si>
  <si>
    <t>Коммерч деят. +договора на обслуж.</t>
  </si>
  <si>
    <t>ЦФ взнос на содерж. дор. (опл.въезда)</t>
  </si>
  <si>
    <t>ЦФ вступит.  взнос новых членов</t>
  </si>
  <si>
    <t>Поступл. ден ср. от сбора член. взнос.</t>
  </si>
  <si>
    <t>Приобрет. инструмент, инвент.,оборуд</t>
  </si>
  <si>
    <t>Оформление земель общего польз.</t>
  </si>
  <si>
    <t>Содержание дорог и уборка территор.</t>
  </si>
  <si>
    <t>Лимит на год</t>
  </si>
  <si>
    <t>Выплата премий сотрудникам</t>
  </si>
  <si>
    <t>КОММЕНТАРИИ к статьям с перерасходом:</t>
  </si>
  <si>
    <t>ВЫВОЗ МУСОРА:</t>
  </si>
  <si>
    <t>Бюджет          за 6 мес.</t>
  </si>
  <si>
    <t>Итого за 6 мес.</t>
  </si>
  <si>
    <t>Перерасход в июле связан с уплатой налога на негативное возд. на окруж среду за 2 кв. в сумме 80610 руб. и запретом на вывоз мусора в лес</t>
  </si>
  <si>
    <t>Лимит на месяц</t>
  </si>
  <si>
    <t>Социальн. налоги с Фонда поощр. ПП</t>
  </si>
  <si>
    <t>Ямочный ремонт дорог</t>
  </si>
  <si>
    <t>АУПС</t>
  </si>
  <si>
    <t>Интернет</t>
  </si>
  <si>
    <t>Пени, штрафы</t>
  </si>
  <si>
    <t>Бензин АИ 95</t>
  </si>
  <si>
    <t>% за депозит</t>
  </si>
  <si>
    <t>Налоги в   ПФР, ФСС ФФОМС</t>
  </si>
  <si>
    <t>Дт</t>
  </si>
  <si>
    <t>Переработка</t>
  </si>
  <si>
    <t>Юрист</t>
  </si>
  <si>
    <t>Ремонт водопровода</t>
  </si>
  <si>
    <t>Лицензирование скважин</t>
  </si>
  <si>
    <t>Оформление земли</t>
  </si>
  <si>
    <t>Обновление 1С</t>
  </si>
  <si>
    <t>х</t>
  </si>
  <si>
    <t>за июнь</t>
  </si>
  <si>
    <t>Личн. а/транспорт</t>
  </si>
  <si>
    <t>Финансовый год:</t>
  </si>
  <si>
    <t>СБИС отчетность</t>
  </si>
  <si>
    <t>Бензин Аи-92</t>
  </si>
  <si>
    <t xml:space="preserve"> </t>
  </si>
  <si>
    <t>Отпускные</t>
  </si>
  <si>
    <t>МТС</t>
  </si>
  <si>
    <t>Глубинный насос</t>
  </si>
  <si>
    <t>Помещение охраны</t>
  </si>
  <si>
    <t>Канализация</t>
  </si>
  <si>
    <t>Электроснабжение</t>
  </si>
  <si>
    <t>Заработная плата    (12 человек)</t>
  </si>
  <si>
    <t>Остаток на начало периода</t>
  </si>
  <si>
    <t>Коммерч деят.</t>
  </si>
  <si>
    <t>Возмещение затрат на эл.эн.</t>
  </si>
  <si>
    <t>б/л</t>
  </si>
  <si>
    <t>Платеж Роскомприроде</t>
  </si>
  <si>
    <t>Модуль обеззараживания</t>
  </si>
  <si>
    <t>Аудиторская проверка</t>
  </si>
  <si>
    <t>Новая скважина</t>
  </si>
  <si>
    <t>Материалы для ремонта</t>
  </si>
  <si>
    <t>Илосос</t>
  </si>
  <si>
    <t>Перемотка статора</t>
  </si>
  <si>
    <t>Насос</t>
  </si>
  <si>
    <t>Тех.план ОС</t>
  </si>
  <si>
    <t>Фонд поощрения ПП</t>
  </si>
  <si>
    <t>Вода питьевая</t>
  </si>
  <si>
    <t>Канцтовары</t>
  </si>
  <si>
    <t>Госпошлина Иванова</t>
  </si>
  <si>
    <t>Видеонаблюдение</t>
  </si>
  <si>
    <t>Асфальтная крошка</t>
  </si>
  <si>
    <t>ОСАГО ЗИЛ</t>
  </si>
  <si>
    <t>Экскаватор</t>
  </si>
  <si>
    <t>Хоз.товары (перчатки)</t>
  </si>
  <si>
    <t>Госпошлина</t>
  </si>
  <si>
    <t>Услуги нотариуса</t>
  </si>
  <si>
    <t>Почтовые услуги</t>
  </si>
  <si>
    <t>Вентилятор</t>
  </si>
  <si>
    <t>Краска серая</t>
  </si>
  <si>
    <t>Болт анкерный</t>
  </si>
  <si>
    <t>Врезка, угол ПНД, кран, заглушка</t>
  </si>
  <si>
    <t>Цементно-асбестовая труба</t>
  </si>
  <si>
    <t>Скоба для провода</t>
  </si>
  <si>
    <t>подшипник на тачку</t>
  </si>
  <si>
    <t>Дизельное топливо</t>
  </si>
  <si>
    <t>Лопаты</t>
  </si>
  <si>
    <t>Аи-95</t>
  </si>
  <si>
    <t>Нивилир</t>
  </si>
  <si>
    <t>3х ходовый кран гилравл.</t>
  </si>
  <si>
    <t>Спецодежда</t>
  </si>
  <si>
    <t>Мешки для мусора</t>
  </si>
  <si>
    <t>уголок, лист,электроды</t>
  </si>
  <si>
    <t>2021-2022гг.</t>
  </si>
  <si>
    <t>Настройка роутера</t>
  </si>
  <si>
    <t>Сайт</t>
  </si>
  <si>
    <t>Бланки пропусков</t>
  </si>
  <si>
    <t>Транспортный налог</t>
  </si>
  <si>
    <t>Водный налог</t>
  </si>
  <si>
    <t>УСН</t>
  </si>
  <si>
    <t>Расширение лицензии</t>
  </si>
  <si>
    <t>Межевой план</t>
  </si>
  <si>
    <t>цемент</t>
  </si>
  <si>
    <t>болт, шайба, гайка, сверло</t>
  </si>
  <si>
    <t>профиль 40-30</t>
  </si>
  <si>
    <t>батарейка</t>
  </si>
  <si>
    <t>диск отрезной</t>
  </si>
  <si>
    <t>краскораспылитель шланг</t>
  </si>
  <si>
    <t>кразовка</t>
  </si>
  <si>
    <t>ремонт тримерров</t>
  </si>
  <si>
    <t>полотно для лобзика, шланг газовый</t>
  </si>
  <si>
    <t>болт, шайба, гайка</t>
  </si>
  <si>
    <t>дорожное зеркало, навесной замок</t>
  </si>
  <si>
    <t>уголок,труба, петли</t>
  </si>
  <si>
    <t>электроды</t>
  </si>
  <si>
    <t>гидроизоляция пенетрон</t>
  </si>
  <si>
    <t>шпилька, гайка</t>
  </si>
  <si>
    <t>круг отрезной</t>
  </si>
  <si>
    <t>бита</t>
  </si>
  <si>
    <t>сиделка, муфта, пнд труба</t>
  </si>
  <si>
    <t>герметик</t>
  </si>
  <si>
    <t>кран, угол, переходник</t>
  </si>
  <si>
    <t>прожектор</t>
  </si>
  <si>
    <t>фонарь, энергофлекс</t>
  </si>
  <si>
    <t>графитная смазка</t>
  </si>
  <si>
    <t>вывоз веток</t>
  </si>
  <si>
    <t>Доработка сайта</t>
  </si>
  <si>
    <t>Ситуационный план ОС</t>
  </si>
  <si>
    <t>труба а/ц 4 шт.</t>
  </si>
  <si>
    <t>хомуты обжимные</t>
  </si>
  <si>
    <t>хомут, рукав напорный</t>
  </si>
  <si>
    <t>замок накладной</t>
  </si>
  <si>
    <t>Аи-92</t>
  </si>
  <si>
    <t>леска триммера</t>
  </si>
  <si>
    <t>стамески</t>
  </si>
  <si>
    <t>подключение газа</t>
  </si>
  <si>
    <t>уголок 63-50</t>
  </si>
  <si>
    <t>газ</t>
  </si>
  <si>
    <t>люк канализационный</t>
  </si>
  <si>
    <t>ремонт триммеров</t>
  </si>
  <si>
    <t>кирпич</t>
  </si>
  <si>
    <t>хомуты, гайки, болты</t>
  </si>
  <si>
    <t>лампа, патрон, переходник</t>
  </si>
  <si>
    <t>стабилизатор 3х фазный</t>
  </si>
  <si>
    <t>прожектор, болты, гайки</t>
  </si>
  <si>
    <t>труба гафрированная</t>
  </si>
  <si>
    <t>компрессор маслянный</t>
  </si>
  <si>
    <t>ремонт газопровода</t>
  </si>
  <si>
    <t>разработка и согласование проекта ГРР</t>
  </si>
  <si>
    <t>проверка проектной документации</t>
  </si>
  <si>
    <t xml:space="preserve">Исполнение финансового плана ТСН "КП "Согласие" за период с июня 2021 по сентябрь 2021 года </t>
  </si>
  <si>
    <t>урны для собачих площадок</t>
  </si>
  <si>
    <t>Юр.услуги по зданию Администрации</t>
  </si>
  <si>
    <t>Информационные стенды</t>
  </si>
  <si>
    <t>экспертиза запаса воды</t>
  </si>
  <si>
    <t>Запчасти для тракторов</t>
  </si>
  <si>
    <t>маски одноразовые</t>
  </si>
  <si>
    <t>Мобильный телефон для охраны</t>
  </si>
  <si>
    <t>изготовление ключей</t>
  </si>
  <si>
    <t>доска обрезная, гвозди</t>
  </si>
  <si>
    <t>фанера</t>
  </si>
  <si>
    <t>грабли</t>
  </si>
  <si>
    <t>цемент, диск алмазный</t>
  </si>
  <si>
    <t>фланец</t>
  </si>
  <si>
    <t>шайба</t>
  </si>
  <si>
    <t>запорная арматура</t>
  </si>
  <si>
    <t>футорка, водоотвод, муфта</t>
  </si>
  <si>
    <t>электроды, отрезной круг</t>
  </si>
  <si>
    <t>съемник подшипника</t>
  </si>
  <si>
    <t>диски отрезные</t>
  </si>
  <si>
    <t>цепь 60 зуб</t>
  </si>
  <si>
    <t>Бензин 95</t>
  </si>
  <si>
    <t>топор, пила, леска</t>
  </si>
  <si>
    <t>лопаты</t>
  </si>
  <si>
    <t>рем комплект для шин</t>
  </si>
  <si>
    <t>замок</t>
  </si>
  <si>
    <t>сип, анкер, лента обжимная</t>
  </si>
  <si>
    <t>кронштейн анкерный</t>
  </si>
  <si>
    <t>кронштейн сип</t>
  </si>
  <si>
    <t>натяжитель ленты</t>
  </si>
  <si>
    <t>сип, натяжитель</t>
  </si>
  <si>
    <t>бензин 95</t>
  </si>
  <si>
    <t>автомат выкл, шина, розетка</t>
  </si>
  <si>
    <t>сип, проколы, натяжители</t>
  </si>
  <si>
    <t>Возмещение затрат Согласием-2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</si>
</sst>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35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sz val="10"/>
      <color indexed="10"/>
      <name val="Arial Cyr"/>
      <charset val="204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i/>
      <sz val="11"/>
      <color indexed="8"/>
      <name val="Calibri"/>
      <family val="2"/>
      <charset val="204"/>
    </font>
    <font>
      <b/>
      <i/>
      <sz val="11"/>
      <color indexed="17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i/>
      <sz val="11"/>
      <color indexed="8"/>
      <name val="Calibri"/>
      <family val="2"/>
      <charset val="204"/>
    </font>
    <font>
      <b/>
      <i/>
      <sz val="12"/>
      <color indexed="8"/>
      <name val="Calibri"/>
      <family val="2"/>
      <charset val="204"/>
    </font>
    <font>
      <b/>
      <i/>
      <sz val="14"/>
      <color indexed="8"/>
      <name val="Calibri"/>
      <family val="2"/>
      <charset val="204"/>
    </font>
    <font>
      <sz val="11"/>
      <color indexed="8"/>
      <name val="Arial"/>
      <family val="2"/>
      <charset val="204"/>
    </font>
    <font>
      <b/>
      <sz val="14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2"/>
      <name val="Calibri"/>
      <family val="2"/>
      <charset val="204"/>
    </font>
    <font>
      <b/>
      <sz val="12"/>
      <name val="Calibri"/>
      <family val="2"/>
      <charset val="204"/>
    </font>
    <font>
      <i/>
      <sz val="12"/>
      <color indexed="8"/>
      <name val="Calibri"/>
      <family val="2"/>
      <charset val="204"/>
    </font>
    <font>
      <b/>
      <sz val="14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i/>
      <sz val="10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indexed="55"/>
      <name val="Calibri"/>
      <family val="2"/>
      <charset val="204"/>
    </font>
    <font>
      <sz val="8"/>
      <name val="Calibri"/>
      <family val="2"/>
      <charset val="204"/>
    </font>
    <font>
      <sz val="11"/>
      <name val="Calibri"/>
      <family val="2"/>
      <charset val="204"/>
    </font>
    <font>
      <sz val="8"/>
      <name val="Calibri"/>
      <family val="2"/>
      <charset val="204"/>
    </font>
    <font>
      <sz val="12"/>
      <color indexed="8"/>
      <name val="Calibri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26" fillId="0" borderId="0" applyFont="0" applyFill="0" applyBorder="0" applyAlignment="0" applyProtection="0"/>
  </cellStyleXfs>
  <cellXfs count="381">
    <xf numFmtId="0" fontId="0" fillId="0" borderId="0" xfId="0"/>
    <xf numFmtId="0" fontId="1" fillId="0" borderId="0" xfId="1"/>
    <xf numFmtId="0" fontId="1" fillId="0" borderId="1" xfId="1" applyBorder="1"/>
    <xf numFmtId="0" fontId="1" fillId="0" borderId="2" xfId="1" applyFill="1" applyBorder="1"/>
    <xf numFmtId="0" fontId="1" fillId="0" borderId="2" xfId="1" applyBorder="1"/>
    <xf numFmtId="0" fontId="3" fillId="0" borderId="1" xfId="1" applyFont="1" applyBorder="1"/>
    <xf numFmtId="0" fontId="1" fillId="0" borderId="3" xfId="1" applyBorder="1"/>
    <xf numFmtId="0" fontId="1" fillId="0" borderId="4" xfId="1" applyBorder="1"/>
    <xf numFmtId="0" fontId="1" fillId="0" borderId="5" xfId="1" applyBorder="1"/>
    <xf numFmtId="0" fontId="1" fillId="0" borderId="6" xfId="1" applyBorder="1"/>
    <xf numFmtId="0" fontId="1" fillId="0" borderId="7" xfId="1" applyBorder="1"/>
    <xf numFmtId="0" fontId="1" fillId="0" borderId="1" xfId="1" applyFill="1" applyBorder="1"/>
    <xf numFmtId="0" fontId="1" fillId="0" borderId="8" xfId="1" applyFont="1" applyBorder="1"/>
    <xf numFmtId="0" fontId="1" fillId="0" borderId="2" xfId="1" applyFont="1" applyFill="1" applyBorder="1"/>
    <xf numFmtId="0" fontId="2" fillId="0" borderId="1" xfId="1" applyFont="1" applyBorder="1"/>
    <xf numFmtId="0" fontId="1" fillId="0" borderId="9" xfId="1" applyBorder="1"/>
    <xf numFmtId="0" fontId="1" fillId="0" borderId="8" xfId="1" applyBorder="1"/>
    <xf numFmtId="0" fontId="1" fillId="0" borderId="10" xfId="1" applyBorder="1"/>
    <xf numFmtId="0" fontId="1" fillId="0" borderId="10" xfId="1" applyFont="1" applyBorder="1"/>
    <xf numFmtId="0" fontId="1" fillId="0" borderId="3" xfId="1" applyFont="1" applyBorder="1"/>
    <xf numFmtId="0" fontId="1" fillId="0" borderId="11" xfId="1" applyBorder="1"/>
    <xf numFmtId="0" fontId="0" fillId="0" borderId="5" xfId="0" applyBorder="1"/>
    <xf numFmtId="0" fontId="1" fillId="0" borderId="5" xfId="1" applyBorder="1" applyAlignment="1">
      <alignment horizontal="center"/>
    </xf>
    <xf numFmtId="0" fontId="1" fillId="0" borderId="4" xfId="1" applyBorder="1" applyAlignment="1">
      <alignment horizontal="center"/>
    </xf>
    <xf numFmtId="0" fontId="1" fillId="0" borderId="0" xfId="1" applyAlignment="1">
      <alignment horizontal="center"/>
    </xf>
    <xf numFmtId="0" fontId="1" fillId="0" borderId="1" xfId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3" xfId="1" applyBorder="1" applyAlignment="1">
      <alignment horizontal="center"/>
    </xf>
    <xf numFmtId="0" fontId="0" fillId="0" borderId="0" xfId="0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10" xfId="1" applyBorder="1" applyAlignment="1">
      <alignment horizontal="center"/>
    </xf>
    <xf numFmtId="0" fontId="5" fillId="0" borderId="12" xfId="0" applyFont="1" applyBorder="1"/>
    <xf numFmtId="0" fontId="5" fillId="0" borderId="2" xfId="0" applyFont="1" applyBorder="1"/>
    <xf numFmtId="0" fontId="0" fillId="0" borderId="12" xfId="0" applyBorder="1"/>
    <xf numFmtId="0" fontId="5" fillId="0" borderId="11" xfId="0" applyFont="1" applyBorder="1"/>
    <xf numFmtId="0" fontId="5" fillId="0" borderId="0" xfId="0" applyFont="1"/>
    <xf numFmtId="0" fontId="0" fillId="2" borderId="5" xfId="0" applyFill="1" applyBorder="1"/>
    <xf numFmtId="0" fontId="5" fillId="0" borderId="5" xfId="0" applyFont="1" applyBorder="1"/>
    <xf numFmtId="0" fontId="0" fillId="0" borderId="13" xfId="0" applyBorder="1"/>
    <xf numFmtId="0" fontId="0" fillId="0" borderId="1" xfId="0" applyBorder="1"/>
    <xf numFmtId="0" fontId="0" fillId="0" borderId="3" xfId="0" applyBorder="1"/>
    <xf numFmtId="0" fontId="0" fillId="2" borderId="3" xfId="0" applyFill="1" applyBorder="1"/>
    <xf numFmtId="0" fontId="5" fillId="0" borderId="3" xfId="0" applyFont="1" applyBorder="1"/>
    <xf numFmtId="0" fontId="0" fillId="0" borderId="14" xfId="0" applyBorder="1"/>
    <xf numFmtId="0" fontId="0" fillId="0" borderId="2" xfId="0" applyBorder="1"/>
    <xf numFmtId="3" fontId="5" fillId="3" borderId="10" xfId="0" applyNumberFormat="1" applyFont="1" applyFill="1" applyBorder="1"/>
    <xf numFmtId="3" fontId="0" fillId="3" borderId="10" xfId="0" applyNumberFormat="1" applyFill="1" applyBorder="1"/>
    <xf numFmtId="3" fontId="0" fillId="0" borderId="10" xfId="0" applyNumberFormat="1" applyBorder="1"/>
    <xf numFmtId="3" fontId="6" fillId="2" borderId="10" xfId="0" applyNumberFormat="1" applyFont="1" applyFill="1" applyBorder="1"/>
    <xf numFmtId="3" fontId="5" fillId="0" borderId="10" xfId="0" applyNumberFormat="1" applyFont="1" applyBorder="1"/>
    <xf numFmtId="3" fontId="5" fillId="0" borderId="0" xfId="0" applyNumberFormat="1" applyFont="1"/>
    <xf numFmtId="0" fontId="0" fillId="0" borderId="10" xfId="0" applyBorder="1"/>
    <xf numFmtId="0" fontId="6" fillId="2" borderId="10" xfId="0" applyFont="1" applyFill="1" applyBorder="1"/>
    <xf numFmtId="3" fontId="7" fillId="0" borderId="10" xfId="0" applyNumberFormat="1" applyFont="1" applyBorder="1"/>
    <xf numFmtId="0" fontId="0" fillId="0" borderId="10" xfId="0" applyFill="1" applyBorder="1"/>
    <xf numFmtId="0" fontId="7" fillId="2" borderId="2" xfId="0" applyFont="1" applyFill="1" applyBorder="1"/>
    <xf numFmtId="0" fontId="8" fillId="2" borderId="10" xfId="0" applyFont="1" applyFill="1" applyBorder="1"/>
    <xf numFmtId="0" fontId="0" fillId="0" borderId="14" xfId="0" applyFill="1" applyBorder="1"/>
    <xf numFmtId="3" fontId="5" fillId="4" borderId="10" xfId="0" applyNumberFormat="1" applyFont="1" applyFill="1" applyBorder="1"/>
    <xf numFmtId="3" fontId="5" fillId="2" borderId="10" xfId="0" applyNumberFormat="1" applyFont="1" applyFill="1" applyBorder="1"/>
    <xf numFmtId="3" fontId="9" fillId="2" borderId="10" xfId="0" applyNumberFormat="1" applyFont="1" applyFill="1" applyBorder="1"/>
    <xf numFmtId="0" fontId="0" fillId="0" borderId="13" xfId="0" applyFill="1" applyBorder="1"/>
    <xf numFmtId="3" fontId="5" fillId="4" borderId="3" xfId="0" applyNumberFormat="1" applyFont="1" applyFill="1" applyBorder="1"/>
    <xf numFmtId="3" fontId="0" fillId="4" borderId="3" xfId="0" applyNumberFormat="1" applyFill="1" applyBorder="1"/>
    <xf numFmtId="3" fontId="0" fillId="0" borderId="3" xfId="0" applyNumberFormat="1" applyBorder="1"/>
    <xf numFmtId="3" fontId="6" fillId="2" borderId="3" xfId="0" applyNumberFormat="1" applyFont="1" applyFill="1" applyBorder="1"/>
    <xf numFmtId="3" fontId="9" fillId="2" borderId="3" xfId="0" applyNumberFormat="1" applyFont="1" applyFill="1" applyBorder="1"/>
    <xf numFmtId="0" fontId="0" fillId="0" borderId="7" xfId="0" applyBorder="1"/>
    <xf numFmtId="0" fontId="0" fillId="0" borderId="6" xfId="0" applyBorder="1"/>
    <xf numFmtId="3" fontId="0" fillId="4" borderId="10" xfId="0" applyNumberFormat="1" applyFill="1" applyBorder="1"/>
    <xf numFmtId="0" fontId="5" fillId="0" borderId="14" xfId="0" applyFont="1" applyFill="1" applyBorder="1"/>
    <xf numFmtId="0" fontId="9" fillId="0" borderId="0" xfId="0" applyFont="1"/>
    <xf numFmtId="3" fontId="0" fillId="5" borderId="10" xfId="0" applyNumberFormat="1" applyFill="1" applyBorder="1"/>
    <xf numFmtId="3" fontId="10" fillId="4" borderId="10" xfId="0" applyNumberFormat="1" applyFont="1" applyFill="1" applyBorder="1"/>
    <xf numFmtId="3" fontId="10" fillId="0" borderId="10" xfId="0" applyNumberFormat="1" applyFont="1" applyBorder="1"/>
    <xf numFmtId="0" fontId="10" fillId="0" borderId="2" xfId="0" applyFont="1" applyBorder="1"/>
    <xf numFmtId="3" fontId="10" fillId="3" borderId="10" xfId="0" applyNumberFormat="1" applyFont="1" applyFill="1" applyBorder="1"/>
    <xf numFmtId="0" fontId="10" fillId="0" borderId="0" xfId="0" applyFont="1"/>
    <xf numFmtId="0" fontId="13" fillId="0" borderId="12" xfId="0" applyFont="1" applyBorder="1"/>
    <xf numFmtId="0" fontId="12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3" fontId="10" fillId="0" borderId="3" xfId="0" applyNumberFormat="1" applyFont="1" applyBorder="1"/>
    <xf numFmtId="0" fontId="0" fillId="0" borderId="15" xfId="0" applyBorder="1"/>
    <xf numFmtId="0" fontId="11" fillId="0" borderId="3" xfId="0" applyFont="1" applyBorder="1"/>
    <xf numFmtId="0" fontId="0" fillId="0" borderId="16" xfId="0" applyFill="1" applyBorder="1"/>
    <xf numFmtId="0" fontId="1" fillId="0" borderId="3" xfId="1" applyFill="1" applyBorder="1"/>
    <xf numFmtId="3" fontId="1" fillId="0" borderId="3" xfId="1" applyNumberFormat="1" applyFill="1" applyBorder="1" applyAlignment="1">
      <alignment horizontal="center"/>
    </xf>
    <xf numFmtId="0" fontId="1" fillId="0" borderId="3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0" fontId="1" fillId="0" borderId="10" xfId="1" applyFill="1" applyBorder="1" applyAlignment="1">
      <alignment horizontal="center"/>
    </xf>
    <xf numFmtId="0" fontId="1" fillId="0" borderId="10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10" xfId="1" applyFont="1" applyBorder="1" applyAlignment="1">
      <alignment horizontal="center" vertical="center"/>
    </xf>
    <xf numFmtId="0" fontId="0" fillId="0" borderId="0" xfId="0" applyAlignment="1"/>
    <xf numFmtId="0" fontId="11" fillId="0" borderId="0" xfId="0" applyFont="1"/>
    <xf numFmtId="0" fontId="1" fillId="0" borderId="3" xfId="1" applyFill="1" applyBorder="1" applyAlignment="1">
      <alignment horizontal="center"/>
    </xf>
    <xf numFmtId="0" fontId="1" fillId="0" borderId="6" xfId="1" applyFill="1" applyBorder="1" applyAlignment="1">
      <alignment horizontal="center"/>
    </xf>
    <xf numFmtId="3" fontId="10" fillId="4" borderId="3" xfId="0" applyNumberFormat="1" applyFont="1" applyFill="1" applyBorder="1" applyAlignment="1">
      <alignment horizontal="center"/>
    </xf>
    <xf numFmtId="3" fontId="10" fillId="6" borderId="3" xfId="0" applyNumberFormat="1" applyFont="1" applyFill="1" applyBorder="1" applyAlignment="1">
      <alignment horizontal="center"/>
    </xf>
    <xf numFmtId="3" fontId="10" fillId="7" borderId="3" xfId="0" applyNumberFormat="1" applyFont="1" applyFill="1" applyBorder="1" applyAlignment="1">
      <alignment horizontal="center"/>
    </xf>
    <xf numFmtId="3" fontId="10" fillId="8" borderId="3" xfId="0" applyNumberFormat="1" applyFont="1" applyFill="1" applyBorder="1" applyAlignment="1">
      <alignment horizontal="center"/>
    </xf>
    <xf numFmtId="0" fontId="11" fillId="0" borderId="14" xfId="0" applyFont="1" applyBorder="1"/>
    <xf numFmtId="0" fontId="11" fillId="0" borderId="2" xfId="0" applyFont="1" applyBorder="1"/>
    <xf numFmtId="0" fontId="11" fillId="0" borderId="17" xfId="0" applyFont="1" applyFill="1" applyBorder="1"/>
    <xf numFmtId="0" fontId="11" fillId="0" borderId="16" xfId="0" applyFont="1" applyBorder="1"/>
    <xf numFmtId="0" fontId="11" fillId="0" borderId="15" xfId="0" applyFont="1" applyBorder="1"/>
    <xf numFmtId="3" fontId="10" fillId="7" borderId="10" xfId="0" applyNumberFormat="1" applyFont="1" applyFill="1" applyBorder="1" applyAlignment="1">
      <alignment horizontal="center"/>
    </xf>
    <xf numFmtId="3" fontId="10" fillId="8" borderId="10" xfId="0" applyNumberFormat="1" applyFont="1" applyFill="1" applyBorder="1" applyAlignment="1">
      <alignment horizontal="center"/>
    </xf>
    <xf numFmtId="3" fontId="11" fillId="4" borderId="10" xfId="0" applyNumberFormat="1" applyFont="1" applyFill="1" applyBorder="1"/>
    <xf numFmtId="3" fontId="11" fillId="4" borderId="10" xfId="0" applyNumberFormat="1" applyFont="1" applyFill="1" applyBorder="1" applyAlignment="1">
      <alignment horizontal="center"/>
    </xf>
    <xf numFmtId="3" fontId="11" fillId="0" borderId="10" xfId="0" applyNumberFormat="1" applyFont="1" applyBorder="1"/>
    <xf numFmtId="3" fontId="18" fillId="2" borderId="10" xfId="0" applyNumberFormat="1" applyFont="1" applyFill="1" applyBorder="1"/>
    <xf numFmtId="3" fontId="10" fillId="0" borderId="10" xfId="0" applyNumberFormat="1" applyFont="1" applyBorder="1" applyAlignment="1">
      <alignment horizontal="center"/>
    </xf>
    <xf numFmtId="3" fontId="10" fillId="0" borderId="13" xfId="0" applyNumberFormat="1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0" xfId="0" applyFont="1" applyBorder="1"/>
    <xf numFmtId="0" fontId="18" fillId="2" borderId="10" xfId="0" applyFont="1" applyFill="1" applyBorder="1"/>
    <xf numFmtId="3" fontId="11" fillId="0" borderId="10" xfId="0" applyNumberFormat="1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1" fillId="0" borderId="17" xfId="0" applyFont="1" applyBorder="1"/>
    <xf numFmtId="3" fontId="11" fillId="4" borderId="17" xfId="0" applyNumberFormat="1" applyFont="1" applyFill="1" applyBorder="1" applyAlignment="1">
      <alignment horizontal="center"/>
    </xf>
    <xf numFmtId="0" fontId="11" fillId="4" borderId="17" xfId="0" applyFont="1" applyFill="1" applyBorder="1" applyAlignment="1">
      <alignment horizontal="center"/>
    </xf>
    <xf numFmtId="0" fontId="11" fillId="4" borderId="17" xfId="0" applyFont="1" applyFill="1" applyBorder="1"/>
    <xf numFmtId="3" fontId="11" fillId="0" borderId="17" xfId="0" applyNumberFormat="1" applyFont="1" applyBorder="1"/>
    <xf numFmtId="0" fontId="18" fillId="2" borderId="17" xfId="0" applyFont="1" applyFill="1" applyBorder="1"/>
    <xf numFmtId="3" fontId="10" fillId="0" borderId="17" xfId="0" applyNumberFormat="1" applyFont="1" applyBorder="1" applyAlignment="1">
      <alignment horizontal="center"/>
    </xf>
    <xf numFmtId="3" fontId="11" fillId="0" borderId="3" xfId="0" applyNumberFormat="1" applyFont="1" applyBorder="1"/>
    <xf numFmtId="3" fontId="18" fillId="2" borderId="3" xfId="0" applyNumberFormat="1" applyFont="1" applyFill="1" applyBorder="1"/>
    <xf numFmtId="3" fontId="10" fillId="0" borderId="3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9" fillId="2" borderId="2" xfId="0" applyFont="1" applyFill="1" applyBorder="1"/>
    <xf numFmtId="0" fontId="20" fillId="2" borderId="10" xfId="0" applyFont="1" applyFill="1" applyBorder="1" applyAlignment="1">
      <alignment horizontal="center"/>
    </xf>
    <xf numFmtId="3" fontId="11" fillId="6" borderId="10" xfId="0" applyNumberFormat="1" applyFont="1" applyFill="1" applyBorder="1" applyAlignment="1">
      <alignment horizontal="center"/>
    </xf>
    <xf numFmtId="3" fontId="11" fillId="6" borderId="3" xfId="0" applyNumberFormat="1" applyFont="1" applyFill="1" applyBorder="1" applyAlignment="1">
      <alignment horizontal="center"/>
    </xf>
    <xf numFmtId="3" fontId="10" fillId="7" borderId="17" xfId="0" applyNumberFormat="1" applyFont="1" applyFill="1" applyBorder="1" applyAlignment="1">
      <alignment horizontal="center"/>
    </xf>
    <xf numFmtId="3" fontId="10" fillId="8" borderId="17" xfId="0" applyNumberFormat="1" applyFont="1" applyFill="1" applyBorder="1" applyAlignment="1">
      <alignment horizontal="center"/>
    </xf>
    <xf numFmtId="3" fontId="11" fillId="6" borderId="17" xfId="0" applyNumberFormat="1" applyFont="1" applyFill="1" applyBorder="1" applyAlignment="1">
      <alignment horizontal="center"/>
    </xf>
    <xf numFmtId="3" fontId="18" fillId="2" borderId="17" xfId="0" applyNumberFormat="1" applyFont="1" applyFill="1" applyBorder="1"/>
    <xf numFmtId="0" fontId="10" fillId="7" borderId="10" xfId="0" applyFont="1" applyFill="1" applyBorder="1" applyAlignment="1">
      <alignment horizontal="center"/>
    </xf>
    <xf numFmtId="1" fontId="10" fillId="8" borderId="10" xfId="0" applyNumberFormat="1" applyFont="1" applyFill="1" applyBorder="1" applyAlignment="1">
      <alignment horizontal="center"/>
    </xf>
    <xf numFmtId="3" fontId="10" fillId="0" borderId="16" xfId="0" applyNumberFormat="1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9" borderId="7" xfId="0" applyFont="1" applyFill="1" applyBorder="1" applyAlignment="1">
      <alignment horizontal="center" vertical="center" wrapText="1"/>
    </xf>
    <xf numFmtId="3" fontId="10" fillId="9" borderId="10" xfId="0" applyNumberFormat="1" applyFont="1" applyFill="1" applyBorder="1" applyAlignment="1">
      <alignment horizontal="center"/>
    </xf>
    <xf numFmtId="3" fontId="10" fillId="9" borderId="17" xfId="0" applyNumberFormat="1" applyFont="1" applyFill="1" applyBorder="1" applyAlignment="1">
      <alignment horizontal="center"/>
    </xf>
    <xf numFmtId="3" fontId="10" fillId="10" borderId="10" xfId="0" applyNumberFormat="1" applyFont="1" applyFill="1" applyBorder="1" applyAlignment="1">
      <alignment horizontal="center"/>
    </xf>
    <xf numFmtId="0" fontId="10" fillId="10" borderId="8" xfId="0" applyFont="1" applyFill="1" applyBorder="1" applyAlignment="1">
      <alignment horizontal="center"/>
    </xf>
    <xf numFmtId="0" fontId="10" fillId="10" borderId="10" xfId="0" applyFont="1" applyFill="1" applyBorder="1" applyAlignment="1">
      <alignment horizontal="center"/>
    </xf>
    <xf numFmtId="3" fontId="10" fillId="10" borderId="17" xfId="0" applyNumberFormat="1" applyFont="1" applyFill="1" applyBorder="1" applyAlignment="1">
      <alignment horizontal="center"/>
    </xf>
    <xf numFmtId="3" fontId="10" fillId="10" borderId="3" xfId="0" applyNumberFormat="1" applyFont="1" applyFill="1" applyBorder="1" applyAlignment="1">
      <alignment horizontal="center"/>
    </xf>
    <xf numFmtId="3" fontId="10" fillId="6" borderId="3" xfId="0" applyNumberFormat="1" applyFont="1" applyFill="1" applyBorder="1"/>
    <xf numFmtId="3" fontId="10" fillId="9" borderId="18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15" fillId="11" borderId="12" xfId="0" applyFont="1" applyFill="1" applyBorder="1"/>
    <xf numFmtId="0" fontId="15" fillId="11" borderId="4" xfId="0" applyFont="1" applyFill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3" fontId="11" fillId="0" borderId="10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3" fontId="10" fillId="3" borderId="3" xfId="0" applyNumberFormat="1" applyFont="1" applyFill="1" applyBorder="1" applyAlignment="1">
      <alignment horizontal="center" vertical="center"/>
    </xf>
    <xf numFmtId="3" fontId="11" fillId="4" borderId="10" xfId="0" applyNumberFormat="1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horizontal="center" vertical="center"/>
    </xf>
    <xf numFmtId="3" fontId="11" fillId="12" borderId="10" xfId="0" applyNumberFormat="1" applyFont="1" applyFill="1" applyBorder="1" applyAlignment="1">
      <alignment horizontal="center" vertical="center"/>
    </xf>
    <xf numFmtId="0" fontId="11" fillId="12" borderId="1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0" borderId="6" xfId="1" applyFill="1" applyBorder="1"/>
    <xf numFmtId="0" fontId="1" fillId="0" borderId="7" xfId="1" applyFill="1" applyBorder="1" applyAlignment="1">
      <alignment horizontal="center"/>
    </xf>
    <xf numFmtId="0" fontId="0" fillId="0" borderId="11" xfId="0" applyFill="1" applyBorder="1"/>
    <xf numFmtId="3" fontId="10" fillId="7" borderId="5" xfId="0" applyNumberFormat="1" applyFont="1" applyFill="1" applyBorder="1" applyAlignment="1">
      <alignment horizontal="center"/>
    </xf>
    <xf numFmtId="3" fontId="10" fillId="8" borderId="5" xfId="0" applyNumberFormat="1" applyFont="1" applyFill="1" applyBorder="1" applyAlignment="1">
      <alignment horizontal="center"/>
    </xf>
    <xf numFmtId="3" fontId="11" fillId="6" borderId="5" xfId="0" applyNumberFormat="1" applyFont="1" applyFill="1" applyBorder="1" applyAlignment="1">
      <alignment horizontal="center"/>
    </xf>
    <xf numFmtId="0" fontId="3" fillId="0" borderId="3" xfId="1" applyFont="1" applyBorder="1"/>
    <xf numFmtId="0" fontId="3" fillId="0" borderId="10" xfId="1" applyFont="1" applyBorder="1"/>
    <xf numFmtId="0" fontId="3" fillId="0" borderId="5" xfId="1" applyFont="1" applyBorder="1" applyAlignment="1">
      <alignment horizontal="center"/>
    </xf>
    <xf numFmtId="1" fontId="1" fillId="0" borderId="10" xfId="1" applyNumberFormat="1" applyFill="1" applyBorder="1" applyAlignment="1">
      <alignment horizontal="center"/>
    </xf>
    <xf numFmtId="0" fontId="1" fillId="0" borderId="10" xfId="1" applyFill="1" applyBorder="1"/>
    <xf numFmtId="0" fontId="1" fillId="0" borderId="7" xfId="1" applyFill="1" applyBorder="1"/>
    <xf numFmtId="0" fontId="0" fillId="0" borderId="0" xfId="0" applyFill="1"/>
    <xf numFmtId="0" fontId="1" fillId="0" borderId="3" xfId="1" applyFill="1" applyBorder="1" applyAlignment="1">
      <alignment horizontal="center" vertical="center"/>
    </xf>
    <xf numFmtId="0" fontId="1" fillId="0" borderId="6" xfId="1" applyFill="1" applyBorder="1" applyAlignment="1">
      <alignment horizontal="center" vertical="center"/>
    </xf>
    <xf numFmtId="0" fontId="1" fillId="0" borderId="10" xfId="1" applyFill="1" applyBorder="1" applyAlignment="1">
      <alignment horizontal="center" vertical="center"/>
    </xf>
    <xf numFmtId="0" fontId="1" fillId="0" borderId="10" xfId="1" applyFont="1" applyFill="1" applyBorder="1"/>
    <xf numFmtId="0" fontId="1" fillId="0" borderId="3" xfId="1" applyFont="1" applyFill="1" applyBorder="1"/>
    <xf numFmtId="0" fontId="1" fillId="0" borderId="7" xfId="1" applyFill="1" applyBorder="1" applyAlignment="1">
      <alignment horizontal="center" vertical="center"/>
    </xf>
    <xf numFmtId="0" fontId="1" fillId="0" borderId="13" xfId="1" applyBorder="1" applyAlignment="1">
      <alignment horizontal="center"/>
    </xf>
    <xf numFmtId="0" fontId="1" fillId="0" borderId="10" xfId="1" applyFill="1" applyBorder="1" applyAlignment="1">
      <alignment vertical="center"/>
    </xf>
    <xf numFmtId="3" fontId="18" fillId="4" borderId="10" xfId="0" applyNumberFormat="1" applyFont="1" applyFill="1" applyBorder="1" applyAlignment="1">
      <alignment horizontal="center" vertical="center"/>
    </xf>
    <xf numFmtId="3" fontId="18" fillId="6" borderId="3" xfId="0" applyNumberFormat="1" applyFont="1" applyFill="1" applyBorder="1" applyAlignment="1">
      <alignment horizontal="center"/>
    </xf>
    <xf numFmtId="3" fontId="10" fillId="5" borderId="13" xfId="0" applyNumberFormat="1" applyFont="1" applyFill="1" applyBorder="1" applyAlignment="1">
      <alignment horizontal="center"/>
    </xf>
    <xf numFmtId="0" fontId="1" fillId="0" borderId="1" xfId="1" applyFont="1" applyBorder="1"/>
    <xf numFmtId="0" fontId="1" fillId="0" borderId="2" xfId="1" applyBorder="1" applyAlignment="1">
      <alignment horizontal="left" vertical="center" wrapText="1"/>
    </xf>
    <xf numFmtId="0" fontId="1" fillId="0" borderId="2" xfId="1" applyBorder="1" applyAlignment="1"/>
    <xf numFmtId="0" fontId="1" fillId="0" borderId="2" xfId="1" applyFill="1" applyBorder="1" applyAlignment="1"/>
    <xf numFmtId="0" fontId="1" fillId="0" borderId="2" xfId="1" applyBorder="1" applyAlignment="1">
      <alignment wrapText="1"/>
    </xf>
    <xf numFmtId="0" fontId="1" fillId="0" borderId="10" xfId="1" applyBorder="1" applyAlignment="1"/>
    <xf numFmtId="0" fontId="16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12" xfId="1" applyBorder="1" applyAlignment="1">
      <alignment horizontal="left" vertical="center" wrapText="1"/>
    </xf>
    <xf numFmtId="0" fontId="1" fillId="0" borderId="2" xfId="1" applyBorder="1" applyAlignment="1">
      <alignment horizontal="center" wrapText="1"/>
    </xf>
    <xf numFmtId="0" fontId="1" fillId="0" borderId="2" xfId="1" applyBorder="1" applyAlignment="1">
      <alignment vertical="center" wrapText="1"/>
    </xf>
    <xf numFmtId="2" fontId="1" fillId="0" borderId="2" xfId="1" applyNumberFormat="1" applyBorder="1" applyAlignment="1"/>
    <xf numFmtId="0" fontId="1" fillId="9" borderId="10" xfId="1" applyFill="1" applyBorder="1"/>
    <xf numFmtId="0" fontId="3" fillId="0" borderId="10" xfId="1" applyFont="1" applyBorder="1" applyAlignment="1">
      <alignment horizontal="left"/>
    </xf>
    <xf numFmtId="0" fontId="1" fillId="0" borderId="2" xfId="1" applyFill="1" applyBorder="1" applyAlignment="1">
      <alignment horizontal="left"/>
    </xf>
    <xf numFmtId="0" fontId="1" fillId="0" borderId="10" xfId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1" fillId="0" borderId="10" xfId="1" applyBorder="1" applyAlignment="1">
      <alignment horizontal="left"/>
    </xf>
    <xf numFmtId="0" fontId="1" fillId="0" borderId="10" xfId="1" applyFill="1" applyBorder="1" applyAlignment="1">
      <alignment horizontal="left"/>
    </xf>
    <xf numFmtId="0" fontId="1" fillId="0" borderId="10" xfId="1" applyBorder="1" applyAlignment="1">
      <alignment wrapText="1"/>
    </xf>
    <xf numFmtId="3" fontId="3" fillId="9" borderId="3" xfId="1" applyNumberFormat="1" applyFont="1" applyFill="1" applyBorder="1" applyAlignment="1">
      <alignment horizontal="center"/>
    </xf>
    <xf numFmtId="3" fontId="3" fillId="9" borderId="3" xfId="1" applyNumberFormat="1" applyFont="1" applyFill="1" applyBorder="1"/>
    <xf numFmtId="1" fontId="3" fillId="9" borderId="3" xfId="1" applyNumberFormat="1" applyFont="1" applyFill="1" applyBorder="1" applyAlignment="1">
      <alignment horizontal="center"/>
    </xf>
    <xf numFmtId="3" fontId="3" fillId="9" borderId="10" xfId="1" applyNumberFormat="1" applyFont="1" applyFill="1" applyBorder="1"/>
    <xf numFmtId="0" fontId="3" fillId="9" borderId="6" xfId="1" applyFont="1" applyFill="1" applyBorder="1"/>
    <xf numFmtId="0" fontId="3" fillId="9" borderId="3" xfId="1" applyFont="1" applyFill="1" applyBorder="1" applyAlignment="1">
      <alignment horizontal="center"/>
    </xf>
    <xf numFmtId="3" fontId="3" fillId="9" borderId="10" xfId="1" applyNumberFormat="1" applyFont="1" applyFill="1" applyBorder="1" applyAlignment="1">
      <alignment horizontal="center"/>
    </xf>
    <xf numFmtId="0" fontId="3" fillId="9" borderId="10" xfId="1" applyFont="1" applyFill="1" applyBorder="1" applyAlignment="1">
      <alignment horizontal="center"/>
    </xf>
    <xf numFmtId="3" fontId="11" fillId="0" borderId="10" xfId="0" applyNumberFormat="1" applyFont="1" applyFill="1" applyBorder="1" applyAlignment="1">
      <alignment horizontal="center" vertical="center"/>
    </xf>
    <xf numFmtId="3" fontId="11" fillId="0" borderId="10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18" fillId="4" borderId="10" xfId="0" applyNumberFormat="1" applyFont="1" applyFill="1" applyBorder="1" applyAlignment="1">
      <alignment horizontal="center"/>
    </xf>
    <xf numFmtId="0" fontId="1" fillId="0" borderId="3" xfId="1" applyFont="1" applyFill="1" applyBorder="1" applyAlignment="1">
      <alignment horizontal="center"/>
    </xf>
    <xf numFmtId="0" fontId="1" fillId="0" borderId="10" xfId="1" applyFont="1" applyFill="1" applyBorder="1" applyAlignment="1">
      <alignment horizontal="center"/>
    </xf>
    <xf numFmtId="0" fontId="1" fillId="0" borderId="10" xfId="1" applyFont="1" applyFill="1" applyBorder="1" applyAlignment="1">
      <alignment horizontal="center" vertical="center"/>
    </xf>
    <xf numFmtId="0" fontId="1" fillId="0" borderId="10" xfId="1" applyFill="1" applyBorder="1" applyAlignment="1"/>
    <xf numFmtId="0" fontId="0" fillId="0" borderId="10" xfId="0" applyFill="1" applyBorder="1" applyAlignment="1">
      <alignment horizontal="center"/>
    </xf>
    <xf numFmtId="0" fontId="4" fillId="0" borderId="10" xfId="1" applyFont="1" applyFill="1" applyBorder="1" applyAlignment="1">
      <alignment horizontal="center"/>
    </xf>
    <xf numFmtId="0" fontId="1" fillId="0" borderId="5" xfId="1" applyFill="1" applyBorder="1" applyAlignment="1">
      <alignment horizontal="center"/>
    </xf>
    <xf numFmtId="0" fontId="1" fillId="0" borderId="4" xfId="1" applyFill="1" applyBorder="1" applyAlignment="1">
      <alignment horizontal="center"/>
    </xf>
    <xf numFmtId="0" fontId="0" fillId="0" borderId="1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wrapText="1"/>
    </xf>
    <xf numFmtId="0" fontId="0" fillId="0" borderId="0" xfId="0" applyFill="1" applyAlignment="1">
      <alignment horizontal="left"/>
    </xf>
    <xf numFmtId="0" fontId="1" fillId="0" borderId="2" xfId="1" applyFill="1" applyBorder="1" applyAlignment="1">
      <alignment horizontal="left" wrapText="1"/>
    </xf>
    <xf numFmtId="0" fontId="1" fillId="0" borderId="2" xfId="1" applyFill="1" applyBorder="1" applyAlignment="1">
      <alignment horizontal="left" vertical="center" wrapText="1"/>
    </xf>
    <xf numFmtId="0" fontId="1" fillId="0" borderId="1" xfId="1" applyFill="1" applyBorder="1" applyAlignment="1">
      <alignment horizontal="left"/>
    </xf>
    <xf numFmtId="0" fontId="17" fillId="0" borderId="10" xfId="0" applyFont="1" applyFill="1" applyBorder="1" applyAlignment="1">
      <alignment horizontal="center"/>
    </xf>
    <xf numFmtId="0" fontId="1" fillId="0" borderId="6" xfId="1" applyFont="1" applyFill="1" applyBorder="1"/>
    <xf numFmtId="0" fontId="1" fillId="0" borderId="10" xfId="1" applyFill="1" applyBorder="1" applyAlignment="1">
      <alignment wrapText="1"/>
    </xf>
    <xf numFmtId="0" fontId="1" fillId="0" borderId="2" xfId="1" applyFont="1" applyFill="1" applyBorder="1" applyAlignment="1"/>
    <xf numFmtId="2" fontId="1" fillId="0" borderId="2" xfId="1" applyNumberFormat="1" applyFill="1" applyBorder="1" applyAlignment="1"/>
    <xf numFmtId="2" fontId="1" fillId="0" borderId="2" xfId="1" applyNumberFormat="1" applyFill="1" applyBorder="1" applyAlignment="1">
      <alignment wrapText="1"/>
    </xf>
    <xf numFmtId="3" fontId="18" fillId="0" borderId="10" xfId="0" applyNumberFormat="1" applyFont="1" applyFill="1" applyBorder="1"/>
    <xf numFmtId="3" fontId="0" fillId="0" borderId="0" xfId="0" applyNumberFormat="1"/>
    <xf numFmtId="0" fontId="1" fillId="0" borderId="5" xfId="1" applyFill="1" applyBorder="1" applyAlignment="1"/>
    <xf numFmtId="0" fontId="1" fillId="0" borderId="5" xfId="1" applyFill="1" applyBorder="1"/>
    <xf numFmtId="0" fontId="15" fillId="0" borderId="5" xfId="0" applyFont="1" applyFill="1" applyBorder="1"/>
    <xf numFmtId="0" fontId="1" fillId="0" borderId="5" xfId="1" applyFont="1" applyFill="1" applyBorder="1"/>
    <xf numFmtId="0" fontId="27" fillId="0" borderId="0" xfId="0" applyFont="1" applyAlignment="1">
      <alignment horizontal="center"/>
    </xf>
    <xf numFmtId="0" fontId="6" fillId="0" borderId="0" xfId="0" applyFont="1"/>
    <xf numFmtId="164" fontId="1" fillId="0" borderId="10" xfId="2" applyNumberFormat="1" applyFont="1" applyFill="1" applyBorder="1" applyAlignment="1">
      <alignment horizontal="center"/>
    </xf>
    <xf numFmtId="164" fontId="1" fillId="0" borderId="0" xfId="2" applyNumberFormat="1" applyFont="1" applyAlignment="1">
      <alignment horizontal="center"/>
    </xf>
    <xf numFmtId="164" fontId="1" fillId="0" borderId="5" xfId="2" applyNumberFormat="1" applyFont="1" applyBorder="1" applyAlignment="1">
      <alignment horizontal="center"/>
    </xf>
    <xf numFmtId="164" fontId="1" fillId="0" borderId="3" xfId="2" applyNumberFormat="1" applyFont="1" applyBorder="1" applyAlignment="1">
      <alignment horizontal="center"/>
    </xf>
    <xf numFmtId="164" fontId="3" fillId="9" borderId="3" xfId="2" applyNumberFormat="1" applyFont="1" applyFill="1" applyBorder="1" applyAlignment="1">
      <alignment horizontal="center"/>
    </xf>
    <xf numFmtId="164" fontId="0" fillId="0" borderId="0" xfId="2" applyNumberFormat="1" applyFont="1" applyAlignment="1">
      <alignment horizontal="center"/>
    </xf>
    <xf numFmtId="0" fontId="27" fillId="0" borderId="0" xfId="0" applyFont="1"/>
    <xf numFmtId="3" fontId="27" fillId="0" borderId="0" xfId="0" applyNumberFormat="1" applyFont="1" applyAlignment="1">
      <alignment horizontal="center"/>
    </xf>
    <xf numFmtId="2" fontId="1" fillId="0" borderId="1" xfId="1" applyNumberFormat="1" applyBorder="1" applyAlignment="1"/>
    <xf numFmtId="0" fontId="1" fillId="5" borderId="2" xfId="1" applyFill="1" applyBorder="1"/>
    <xf numFmtId="0" fontId="1" fillId="0" borderId="1" xfId="1" applyBorder="1" applyAlignment="1">
      <alignment wrapText="1"/>
    </xf>
    <xf numFmtId="0" fontId="1" fillId="5" borderId="2" xfId="1" applyFont="1" applyFill="1" applyBorder="1"/>
    <xf numFmtId="3" fontId="1" fillId="0" borderId="10" xfId="1" applyNumberFormat="1" applyFont="1" applyFill="1" applyBorder="1" applyAlignment="1">
      <alignment horizontal="center"/>
    </xf>
    <xf numFmtId="3" fontId="1" fillId="0" borderId="6" xfId="1" applyNumberFormat="1" applyFill="1" applyBorder="1" applyAlignment="1">
      <alignment horizontal="center"/>
    </xf>
    <xf numFmtId="164" fontId="1" fillId="0" borderId="3" xfId="2" applyNumberFormat="1" applyFont="1" applyFill="1" applyBorder="1" applyAlignment="1">
      <alignment horizontal="center"/>
    </xf>
    <xf numFmtId="3" fontId="1" fillId="0" borderId="10" xfId="1" applyNumberFormat="1" applyFill="1" applyBorder="1" applyAlignment="1">
      <alignment horizontal="center"/>
    </xf>
    <xf numFmtId="164" fontId="1" fillId="0" borderId="3" xfId="2" applyNumberFormat="1" applyFont="1" applyBorder="1"/>
    <xf numFmtId="164" fontId="1" fillId="0" borderId="10" xfId="2" applyNumberFormat="1" applyFont="1" applyBorder="1"/>
    <xf numFmtId="0" fontId="0" fillId="0" borderId="10" xfId="0" applyBorder="1" applyAlignment="1">
      <alignment horizontal="center"/>
    </xf>
    <xf numFmtId="0" fontId="23" fillId="0" borderId="1" xfId="0" applyFont="1" applyBorder="1" applyAlignment="1">
      <alignment vertical="center"/>
    </xf>
    <xf numFmtId="0" fontId="30" fillId="0" borderId="0" xfId="0" applyFont="1"/>
    <xf numFmtId="164" fontId="6" fillId="0" borderId="0" xfId="2" applyNumberFormat="1" applyFont="1"/>
    <xf numFmtId="0" fontId="6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3" fontId="6" fillId="0" borderId="0" xfId="0" applyNumberFormat="1" applyFont="1" applyAlignment="1">
      <alignment horizontal="center"/>
    </xf>
    <xf numFmtId="0" fontId="32" fillId="0" borderId="0" xfId="0" applyFont="1"/>
    <xf numFmtId="0" fontId="32" fillId="0" borderId="0" xfId="0" applyFont="1" applyAlignment="1">
      <alignment horizontal="center"/>
    </xf>
    <xf numFmtId="164" fontId="32" fillId="0" borderId="0" xfId="2" applyNumberFormat="1" applyFont="1"/>
    <xf numFmtId="43" fontId="32" fillId="0" borderId="0" xfId="2" applyNumberFormat="1" applyFont="1"/>
    <xf numFmtId="43" fontId="33" fillId="0" borderId="0" xfId="2" applyNumberFormat="1" applyFont="1"/>
    <xf numFmtId="164" fontId="1" fillId="0" borderId="10" xfId="2" applyNumberFormat="1" applyFont="1" applyFill="1" applyBorder="1"/>
    <xf numFmtId="164" fontId="1" fillId="0" borderId="7" xfId="2" applyNumberFormat="1" applyFont="1" applyFill="1" applyBorder="1"/>
    <xf numFmtId="164" fontId="1" fillId="0" borderId="7" xfId="2" applyNumberFormat="1" applyFont="1" applyFill="1" applyBorder="1" applyAlignment="1">
      <alignment horizontal="center"/>
    </xf>
    <xf numFmtId="164" fontId="1" fillId="0" borderId="6" xfId="2" applyNumberFormat="1" applyFont="1" applyFill="1" applyBorder="1" applyAlignment="1">
      <alignment horizontal="center"/>
    </xf>
    <xf numFmtId="164" fontId="1" fillId="0" borderId="13" xfId="2" applyNumberFormat="1" applyFont="1" applyFill="1" applyBorder="1"/>
    <xf numFmtId="164" fontId="1" fillId="0" borderId="3" xfId="2" applyNumberFormat="1" applyFont="1" applyFill="1" applyBorder="1"/>
    <xf numFmtId="164" fontId="1" fillId="0" borderId="13" xfId="2" applyNumberFormat="1" applyFont="1" applyBorder="1"/>
    <xf numFmtId="164" fontId="1" fillId="0" borderId="14" xfId="2" applyNumberFormat="1" applyFont="1" applyFill="1" applyBorder="1"/>
    <xf numFmtId="164" fontId="1" fillId="0" borderId="14" xfId="2" applyNumberFormat="1" applyFont="1" applyBorder="1"/>
    <xf numFmtId="164" fontId="1" fillId="0" borderId="5" xfId="2" applyNumberFormat="1" applyFont="1" applyFill="1" applyBorder="1" applyAlignment="1">
      <alignment horizontal="center"/>
    </xf>
    <xf numFmtId="164" fontId="1" fillId="0" borderId="10" xfId="2" applyNumberFormat="1" applyFont="1" applyBorder="1" applyAlignment="1">
      <alignment horizontal="center"/>
    </xf>
    <xf numFmtId="164" fontId="4" fillId="0" borderId="7" xfId="2" applyNumberFormat="1" applyFont="1" applyFill="1" applyBorder="1" applyAlignment="1">
      <alignment horizontal="center"/>
    </xf>
    <xf numFmtId="0" fontId="1" fillId="0" borderId="0" xfId="1" applyFill="1" applyBorder="1"/>
    <xf numFmtId="164" fontId="1" fillId="0" borderId="0" xfId="2" applyNumberFormat="1" applyFont="1" applyFill="1" applyBorder="1" applyAlignment="1">
      <alignment horizontal="center"/>
    </xf>
    <xf numFmtId="3" fontId="10" fillId="9" borderId="3" xfId="0" applyNumberFormat="1" applyFont="1" applyFill="1" applyBorder="1" applyAlignment="1">
      <alignment horizontal="center"/>
    </xf>
    <xf numFmtId="0" fontId="0" fillId="0" borderId="10" xfId="0" applyFill="1" applyBorder="1" applyAlignment="1">
      <alignment horizontal="left" vertical="center" wrapText="1"/>
    </xf>
    <xf numFmtId="0" fontId="6" fillId="0" borderId="10" xfId="0" applyFont="1" applyBorder="1"/>
    <xf numFmtId="0" fontId="1" fillId="0" borderId="4" xfId="1" applyBorder="1" applyAlignment="1">
      <alignment wrapText="1"/>
    </xf>
    <xf numFmtId="0" fontId="11" fillId="0" borderId="11" xfId="0" applyFont="1" applyBorder="1"/>
    <xf numFmtId="0" fontId="11" fillId="0" borderId="12" xfId="0" applyFont="1" applyBorder="1"/>
    <xf numFmtId="0" fontId="11" fillId="0" borderId="13" xfId="0" applyFont="1" applyBorder="1"/>
    <xf numFmtId="0" fontId="11" fillId="0" borderId="1" xfId="0" applyFont="1" applyBorder="1"/>
    <xf numFmtId="0" fontId="11" fillId="0" borderId="4" xfId="0" applyFont="1" applyBorder="1"/>
    <xf numFmtId="0" fontId="11" fillId="0" borderId="6" xfId="0" applyFont="1" applyBorder="1"/>
    <xf numFmtId="0" fontId="5" fillId="13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34" fillId="0" borderId="0" xfId="0" applyFont="1" applyAlignment="1"/>
    <xf numFmtId="0" fontId="34" fillId="0" borderId="0" xfId="0" applyFont="1"/>
    <xf numFmtId="0" fontId="0" fillId="0" borderId="0" xfId="0" applyAlignment="1">
      <alignment horizontal="left"/>
    </xf>
    <xf numFmtId="2" fontId="1" fillId="0" borderId="2" xfId="1" applyNumberFormat="1" applyFont="1" applyFill="1" applyBorder="1" applyAlignment="1">
      <alignment wrapText="1"/>
    </xf>
    <xf numFmtId="0" fontId="18" fillId="0" borderId="0" xfId="0" applyFont="1"/>
    <xf numFmtId="3" fontId="10" fillId="5" borderId="17" xfId="0" applyNumberFormat="1" applyFont="1" applyFill="1" applyBorder="1" applyAlignment="1">
      <alignment horizontal="center"/>
    </xf>
    <xf numFmtId="3" fontId="10" fillId="0" borderId="10" xfId="0" applyNumberFormat="1" applyFont="1" applyFill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Fill="1" applyBorder="1"/>
    <xf numFmtId="164" fontId="0" fillId="0" borderId="0" xfId="2" applyNumberFormat="1" applyFont="1"/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13" borderId="5" xfId="0" applyFont="1" applyFill="1" applyBorder="1" applyAlignment="1">
      <alignment horizontal="center" vertical="center" wrapText="1"/>
    </xf>
    <xf numFmtId="0" fontId="5" fillId="13" borderId="3" xfId="0" applyFont="1" applyFill="1" applyBorder="1" applyAlignment="1">
      <alignment horizontal="center" vertical="center" wrapText="1"/>
    </xf>
    <xf numFmtId="0" fontId="10" fillId="0" borderId="20" xfId="0" applyFont="1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14" fillId="6" borderId="2" xfId="0" applyFont="1" applyFill="1" applyBorder="1" applyAlignment="1">
      <alignment wrapText="1"/>
    </xf>
    <xf numFmtId="0" fontId="0" fillId="0" borderId="2" xfId="0" applyBorder="1" applyAlignment="1">
      <alignment wrapText="1"/>
    </xf>
    <xf numFmtId="0" fontId="14" fillId="4" borderId="11" xfId="0" applyFont="1" applyFill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3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11" borderId="13" xfId="0" applyFont="1" applyFill="1" applyBorder="1" applyAlignment="1"/>
    <xf numFmtId="0" fontId="15" fillId="11" borderId="1" xfId="0" applyFont="1" applyFill="1" applyBorder="1" applyAlignment="1"/>
    <xf numFmtId="0" fontId="15" fillId="11" borderId="6" xfId="0" applyFont="1" applyFill="1" applyBorder="1" applyAlignment="1"/>
    <xf numFmtId="0" fontId="24" fillId="14" borderId="11" xfId="0" applyFont="1" applyFill="1" applyBorder="1" applyAlignment="1"/>
    <xf numFmtId="0" fontId="25" fillId="14" borderId="12" xfId="0" applyFont="1" applyFill="1" applyBorder="1" applyAlignment="1"/>
    <xf numFmtId="0" fontId="25" fillId="14" borderId="4" xfId="0" applyFont="1" applyFill="1" applyBorder="1" applyAlignment="1"/>
    <xf numFmtId="0" fontId="15" fillId="14" borderId="13" xfId="0" applyFont="1" applyFill="1" applyBorder="1" applyAlignment="1"/>
    <xf numFmtId="0" fontId="0" fillId="14" borderId="1" xfId="0" applyFill="1" applyBorder="1" applyAlignment="1"/>
    <xf numFmtId="0" fontId="0" fillId="14" borderId="6" xfId="0" applyFill="1" applyBorder="1" applyAlignment="1"/>
    <xf numFmtId="0" fontId="10" fillId="0" borderId="19" xfId="0" applyFont="1" applyFill="1" applyBorder="1" applyAlignment="1"/>
    <xf numFmtId="0" fontId="11" fillId="0" borderId="20" xfId="0" applyFont="1" applyBorder="1" applyAlignment="1"/>
    <xf numFmtId="0" fontId="11" fillId="0" borderId="21" xfId="0" applyFont="1" applyBorder="1" applyAlignment="1"/>
    <xf numFmtId="0" fontId="22" fillId="0" borderId="0" xfId="0" applyFont="1" applyAlignment="1"/>
    <xf numFmtId="0" fontId="24" fillId="11" borderId="11" xfId="0" applyFont="1" applyFill="1" applyBorder="1" applyAlignment="1"/>
    <xf numFmtId="0" fontId="24" fillId="11" borderId="12" xfId="0" applyFont="1" applyFill="1" applyBorder="1" applyAlignment="1"/>
    <xf numFmtId="0" fontId="24" fillId="11" borderId="12" xfId="0" applyFont="1" applyFill="1" applyBorder="1" applyAlignment="1">
      <alignment horizontal="center"/>
    </xf>
    <xf numFmtId="3" fontId="10" fillId="7" borderId="5" xfId="0" applyNumberFormat="1" applyFont="1" applyFill="1" applyBorder="1" applyAlignment="1">
      <alignment horizontal="center" vertical="center"/>
    </xf>
    <xf numFmtId="3" fontId="10" fillId="7" borderId="3" xfId="0" applyNumberFormat="1" applyFont="1" applyFill="1" applyBorder="1" applyAlignment="1">
      <alignment horizontal="center" vertical="center"/>
    </xf>
    <xf numFmtId="3" fontId="10" fillId="8" borderId="5" xfId="0" applyNumberFormat="1" applyFont="1" applyFill="1" applyBorder="1" applyAlignment="1">
      <alignment horizontal="center" vertical="center"/>
    </xf>
    <xf numFmtId="3" fontId="10" fillId="8" borderId="3" xfId="0" applyNumberFormat="1" applyFont="1" applyFill="1" applyBorder="1" applyAlignment="1">
      <alignment horizontal="center" vertical="center"/>
    </xf>
    <xf numFmtId="0" fontId="10" fillId="0" borderId="13" xfId="0" applyFont="1" applyFill="1" applyBorder="1" applyAlignment="1"/>
    <xf numFmtId="0" fontId="11" fillId="0" borderId="1" xfId="0" applyFont="1" applyBorder="1" applyAlignment="1"/>
    <xf numFmtId="0" fontId="11" fillId="0" borderId="6" xfId="0" applyFont="1" applyBorder="1" applyAlignment="1"/>
    <xf numFmtId="3" fontId="10" fillId="10" borderId="5" xfId="0" applyNumberFormat="1" applyFont="1" applyFill="1" applyBorder="1" applyAlignment="1">
      <alignment horizontal="center" vertical="center"/>
    </xf>
    <xf numFmtId="3" fontId="10" fillId="10" borderId="3" xfId="0" applyNumberFormat="1" applyFont="1" applyFill="1" applyBorder="1" applyAlignment="1">
      <alignment horizontal="center" vertical="center"/>
    </xf>
    <xf numFmtId="3" fontId="10" fillId="0" borderId="5" xfId="0" applyNumberFormat="1" applyFont="1" applyBorder="1" applyAlignment="1">
      <alignment horizontal="center" vertical="center"/>
    </xf>
    <xf numFmtId="3" fontId="10" fillId="0" borderId="3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0" fillId="0" borderId="0" xfId="0" applyFont="1" applyAlignment="1"/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55"/>
  <sheetViews>
    <sheetView workbookViewId="0">
      <selection activeCell="Z20" sqref="Z20:Z21"/>
    </sheetView>
  </sheetViews>
  <sheetFormatPr defaultRowHeight="15"/>
  <cols>
    <col min="4" max="4" width="9.85546875" bestFit="1" customWidth="1"/>
    <col min="5" max="5" width="1" customWidth="1"/>
    <col min="6" max="6" width="12" style="30" customWidth="1"/>
    <col min="7" max="7" width="10.85546875" style="30" customWidth="1"/>
    <col min="8" max="8" width="11.42578125" hidden="1" customWidth="1"/>
    <col min="9" max="9" width="10.42578125" style="30" hidden="1" customWidth="1"/>
    <col min="10" max="11" width="10.85546875" style="30" hidden="1" customWidth="1"/>
    <col min="12" max="12" width="10" hidden="1" customWidth="1"/>
    <col min="13" max="13" width="10.85546875" hidden="1" customWidth="1"/>
    <col min="14" max="14" width="12.5703125" hidden="1" customWidth="1"/>
    <col min="15" max="16" width="0.85546875" hidden="1" customWidth="1"/>
    <col min="17" max="17" width="0.7109375" hidden="1" customWidth="1"/>
    <col min="18" max="20" width="0.85546875" hidden="1" customWidth="1"/>
    <col min="21" max="21" width="11.28515625" style="30" customWidth="1"/>
    <col min="22" max="22" width="12" style="30" customWidth="1"/>
    <col min="23" max="23" width="16.140625" style="30" customWidth="1"/>
  </cols>
  <sheetData>
    <row r="1" spans="1:23" ht="6" customHeight="1">
      <c r="A1" s="164"/>
      <c r="B1" s="164"/>
      <c r="C1" s="164"/>
      <c r="D1" s="164"/>
      <c r="E1" s="164"/>
      <c r="F1" s="165"/>
      <c r="G1" s="165"/>
      <c r="H1" s="164"/>
      <c r="I1" s="165"/>
      <c r="J1" s="165"/>
      <c r="K1" s="165"/>
      <c r="L1" s="164"/>
      <c r="M1" s="164"/>
      <c r="N1" s="164"/>
      <c r="O1" s="164"/>
      <c r="P1" s="164"/>
      <c r="Q1" s="164"/>
      <c r="R1" s="164"/>
      <c r="S1" s="164"/>
      <c r="T1" s="164"/>
      <c r="U1" s="165"/>
    </row>
    <row r="2" spans="1:23" ht="21" customHeight="1">
      <c r="A2" s="157"/>
      <c r="B2" s="158"/>
      <c r="C2" s="159"/>
      <c r="D2" s="159"/>
      <c r="E2" s="159"/>
      <c r="F2" s="160"/>
      <c r="G2" s="161" t="s">
        <v>63</v>
      </c>
      <c r="H2" s="161"/>
      <c r="I2" s="161"/>
      <c r="J2" s="161"/>
      <c r="K2" s="161"/>
      <c r="L2" s="161"/>
      <c r="M2" s="162"/>
      <c r="N2" s="163"/>
      <c r="O2" s="163"/>
      <c r="P2" s="156"/>
      <c r="Q2" s="163"/>
      <c r="R2" s="163"/>
      <c r="S2" s="163"/>
      <c r="T2" s="163"/>
      <c r="U2" s="163"/>
    </row>
    <row r="3" spans="1:23" ht="37.5" customHeight="1">
      <c r="A3" s="343" t="s">
        <v>65</v>
      </c>
      <c r="B3" s="344"/>
      <c r="C3" s="344"/>
      <c r="D3" s="344"/>
      <c r="E3" s="345"/>
      <c r="F3" s="334" t="s">
        <v>80</v>
      </c>
      <c r="G3" s="334" t="s">
        <v>80</v>
      </c>
      <c r="H3" s="21" t="s">
        <v>35</v>
      </c>
      <c r="I3" s="347" t="s">
        <v>1</v>
      </c>
      <c r="J3" s="347" t="s">
        <v>2</v>
      </c>
      <c r="K3" s="347" t="s">
        <v>3</v>
      </c>
      <c r="L3" s="347" t="s">
        <v>4</v>
      </c>
      <c r="M3" s="179" t="s">
        <v>5</v>
      </c>
      <c r="N3" s="179" t="s">
        <v>6</v>
      </c>
      <c r="O3" s="21"/>
      <c r="P3" s="21"/>
      <c r="Q3" s="21"/>
      <c r="R3" s="21"/>
      <c r="S3" s="38"/>
      <c r="T3" s="38"/>
      <c r="U3" s="334" t="s">
        <v>85</v>
      </c>
      <c r="V3" s="334" t="s">
        <v>84</v>
      </c>
      <c r="W3" s="336" t="s">
        <v>71</v>
      </c>
    </row>
    <row r="4" spans="1:23" ht="0.75" customHeight="1">
      <c r="A4" s="40"/>
      <c r="B4" s="41"/>
      <c r="C4" s="41"/>
      <c r="D4" s="41"/>
      <c r="E4" s="41"/>
      <c r="F4" s="346"/>
      <c r="G4" s="346"/>
      <c r="H4" s="42" t="s">
        <v>56</v>
      </c>
      <c r="I4" s="348"/>
      <c r="J4" s="348"/>
      <c r="K4" s="348"/>
      <c r="L4" s="348"/>
      <c r="M4" s="170" t="s">
        <v>5</v>
      </c>
      <c r="N4" s="170" t="s">
        <v>6</v>
      </c>
      <c r="O4" s="82" t="s">
        <v>7</v>
      </c>
      <c r="P4" s="82" t="s">
        <v>8</v>
      </c>
      <c r="Q4" s="82" t="s">
        <v>9</v>
      </c>
      <c r="R4" s="82" t="s">
        <v>10</v>
      </c>
      <c r="S4" s="83" t="s">
        <v>11</v>
      </c>
      <c r="T4" s="83" t="s">
        <v>12</v>
      </c>
      <c r="U4" s="346"/>
      <c r="V4" s="335"/>
      <c r="W4" s="337"/>
    </row>
    <row r="5" spans="1:23" ht="15.75">
      <c r="A5" s="105" t="s">
        <v>76</v>
      </c>
      <c r="B5" s="106"/>
      <c r="C5" s="106"/>
      <c r="D5" s="106"/>
      <c r="E5" s="106"/>
      <c r="F5" s="110">
        <v>25090303</v>
      </c>
      <c r="G5" s="111">
        <f>F5/12</f>
        <v>2090858.5833333333</v>
      </c>
      <c r="H5" s="112"/>
      <c r="I5" s="113">
        <v>2150745</v>
      </c>
      <c r="J5" s="113">
        <v>2150245</v>
      </c>
      <c r="K5" s="113">
        <v>1812865</v>
      </c>
      <c r="L5" s="112">
        <v>1921915</v>
      </c>
      <c r="M5" s="175">
        <v>2257168</v>
      </c>
      <c r="N5" s="177">
        <v>1834383</v>
      </c>
      <c r="O5" s="114"/>
      <c r="P5" s="114"/>
      <c r="Q5" s="114"/>
      <c r="R5" s="114"/>
      <c r="S5" s="115"/>
      <c r="T5" s="115"/>
      <c r="U5" s="116">
        <f>SUM(I5:T5)</f>
        <v>12127321</v>
      </c>
      <c r="V5" s="117">
        <f>G5*6</f>
        <v>12545151.5</v>
      </c>
      <c r="W5" s="149">
        <f>U5-V5</f>
        <v>-417830.5</v>
      </c>
    </row>
    <row r="6" spans="1:23" ht="15.75">
      <c r="A6" s="105" t="s">
        <v>75</v>
      </c>
      <c r="B6" s="106"/>
      <c r="C6" s="106"/>
      <c r="D6" s="106"/>
      <c r="E6" s="106"/>
      <c r="F6" s="118"/>
      <c r="G6" s="118"/>
      <c r="H6" s="119"/>
      <c r="I6" s="118"/>
      <c r="J6" s="118"/>
      <c r="K6" s="118"/>
      <c r="L6" s="119"/>
      <c r="M6" s="172"/>
      <c r="N6" s="172"/>
      <c r="O6" s="119"/>
      <c r="P6" s="119"/>
      <c r="Q6" s="119"/>
      <c r="R6" s="119"/>
      <c r="S6" s="120"/>
      <c r="T6" s="115"/>
      <c r="U6" s="116">
        <f t="shared" ref="U6:U31" si="0">SUM(I6:T6)</f>
        <v>0</v>
      </c>
      <c r="V6" s="117"/>
      <c r="W6" s="150"/>
    </row>
    <row r="7" spans="1:23" ht="15.75">
      <c r="A7" s="105" t="s">
        <v>74</v>
      </c>
      <c r="B7" s="106"/>
      <c r="C7" s="106"/>
      <c r="D7" s="106"/>
      <c r="E7" s="106"/>
      <c r="F7" s="142">
        <v>200000</v>
      </c>
      <c r="G7" s="143">
        <f>F7/12</f>
        <v>16666.666666666668</v>
      </c>
      <c r="H7" s="114"/>
      <c r="I7" s="113">
        <f>35940+340</f>
        <v>36280</v>
      </c>
      <c r="J7" s="113">
        <v>58470</v>
      </c>
      <c r="K7" s="113">
        <v>37120</v>
      </c>
      <c r="L7" s="112">
        <v>28150</v>
      </c>
      <c r="M7" s="175">
        <v>55530</v>
      </c>
      <c r="N7" s="177">
        <v>37600</v>
      </c>
      <c r="O7" s="114"/>
      <c r="P7" s="114"/>
      <c r="Q7" s="114"/>
      <c r="R7" s="114"/>
      <c r="S7" s="115"/>
      <c r="T7" s="115"/>
      <c r="U7" s="116">
        <f>SUM(I7:T7)</f>
        <v>253150</v>
      </c>
      <c r="V7" s="117">
        <f>G7*6</f>
        <v>100000</v>
      </c>
      <c r="W7" s="149">
        <f>U7-V7</f>
        <v>153150</v>
      </c>
    </row>
    <row r="8" spans="1:23" ht="15.75">
      <c r="A8" s="105" t="s">
        <v>69</v>
      </c>
      <c r="B8" s="106"/>
      <c r="C8" s="106"/>
      <c r="D8" s="106"/>
      <c r="E8" s="106"/>
      <c r="F8" s="118"/>
      <c r="G8" s="118"/>
      <c r="H8" s="119"/>
      <c r="I8" s="121"/>
      <c r="J8" s="121"/>
      <c r="K8" s="121"/>
      <c r="L8" s="114"/>
      <c r="M8" s="171"/>
      <c r="N8" s="171"/>
      <c r="O8" s="114"/>
      <c r="P8" s="114"/>
      <c r="Q8" s="114"/>
      <c r="R8" s="114"/>
      <c r="S8" s="115"/>
      <c r="T8" s="115"/>
      <c r="U8" s="116">
        <f t="shared" si="0"/>
        <v>0</v>
      </c>
      <c r="V8" s="117"/>
      <c r="W8" s="151"/>
    </row>
    <row r="9" spans="1:23" ht="16.5" thickBot="1">
      <c r="A9" s="107" t="s">
        <v>73</v>
      </c>
      <c r="B9" s="108"/>
      <c r="C9" s="109"/>
      <c r="D9" s="109"/>
      <c r="E9" s="109"/>
      <c r="F9" s="122"/>
      <c r="G9" s="122"/>
      <c r="H9" s="123"/>
      <c r="I9" s="124">
        <f>15000+99836+10860+240</f>
        <v>125936</v>
      </c>
      <c r="J9" s="124">
        <v>15240</v>
      </c>
      <c r="K9" s="125">
        <v>15240</v>
      </c>
      <c r="L9" s="126">
        <v>107699</v>
      </c>
      <c r="M9" s="176">
        <v>26100</v>
      </c>
      <c r="N9" s="178">
        <v>15240</v>
      </c>
      <c r="O9" s="123"/>
      <c r="P9" s="123"/>
      <c r="Q9" s="127"/>
      <c r="R9" s="123"/>
      <c r="S9" s="128"/>
      <c r="T9" s="128"/>
      <c r="U9" s="129">
        <f>SUM(I9:T9)</f>
        <v>305455</v>
      </c>
      <c r="V9" s="144">
        <f>G9*5</f>
        <v>0</v>
      </c>
      <c r="W9" s="152">
        <f>U9-V9</f>
        <v>305455</v>
      </c>
    </row>
    <row r="10" spans="1:23" ht="15.75">
      <c r="A10" s="338" t="s">
        <v>66</v>
      </c>
      <c r="B10" s="339"/>
      <c r="C10" s="339"/>
      <c r="D10" s="339"/>
      <c r="E10" s="340"/>
      <c r="F10" s="103">
        <f t="shared" ref="F10:N10" si="1">SUM(F5:F9)</f>
        <v>25290303</v>
      </c>
      <c r="G10" s="104">
        <f t="shared" si="1"/>
        <v>2107525.25</v>
      </c>
      <c r="H10" s="84">
        <f>SUM(H5:H9)</f>
        <v>0</v>
      </c>
      <c r="I10" s="101">
        <f t="shared" si="1"/>
        <v>2312961</v>
      </c>
      <c r="J10" s="101">
        <f t="shared" si="1"/>
        <v>2223955</v>
      </c>
      <c r="K10" s="101">
        <f t="shared" si="1"/>
        <v>1865225</v>
      </c>
      <c r="L10" s="101">
        <f t="shared" si="1"/>
        <v>2057764</v>
      </c>
      <c r="M10" s="101">
        <f t="shared" si="1"/>
        <v>2338798</v>
      </c>
      <c r="N10" s="101">
        <f t="shared" si="1"/>
        <v>1887223</v>
      </c>
      <c r="O10" s="130"/>
      <c r="P10" s="130"/>
      <c r="Q10" s="130"/>
      <c r="R10" s="130"/>
      <c r="S10" s="131"/>
      <c r="T10" s="131"/>
      <c r="U10" s="132">
        <f>SUM(I10:T10)</f>
        <v>12685926</v>
      </c>
      <c r="V10" s="117">
        <f>G10*6</f>
        <v>12645151.5</v>
      </c>
      <c r="W10" s="153">
        <f>U10-V10</f>
        <v>40774.5</v>
      </c>
    </row>
    <row r="11" spans="1:23" ht="33" customHeight="1">
      <c r="A11" s="341" t="s">
        <v>64</v>
      </c>
      <c r="B11" s="342"/>
      <c r="C11" s="342"/>
      <c r="D11" s="342"/>
      <c r="E11" s="342"/>
      <c r="F11" s="133"/>
      <c r="G11" s="133"/>
      <c r="H11" s="77"/>
      <c r="I11" s="133"/>
      <c r="J11" s="133"/>
      <c r="K11" s="133"/>
      <c r="L11" s="77"/>
      <c r="M11" s="173"/>
      <c r="N11" s="173"/>
      <c r="O11" s="77"/>
      <c r="P11" s="77"/>
      <c r="Q11" s="77"/>
      <c r="R11" s="77"/>
      <c r="S11" s="134"/>
      <c r="T11" s="134"/>
      <c r="U11" s="145"/>
      <c r="V11" s="135"/>
      <c r="W11" s="146" t="s">
        <v>72</v>
      </c>
    </row>
    <row r="12" spans="1:23" ht="15.75">
      <c r="A12" s="59" t="s">
        <v>0</v>
      </c>
      <c r="B12" s="46"/>
      <c r="C12" s="46"/>
      <c r="D12" s="46"/>
      <c r="E12" s="46"/>
      <c r="F12" s="110">
        <v>900000</v>
      </c>
      <c r="G12" s="111">
        <f>F12/12</f>
        <v>75000</v>
      </c>
      <c r="H12" s="119"/>
      <c r="I12" s="136">
        <f ca="1">'общехоз расходы'!B71</f>
        <v>0</v>
      </c>
      <c r="J12" s="136">
        <f ca="1">'общехоз расходы'!C71</f>
        <v>0</v>
      </c>
      <c r="K12" s="136">
        <f ca="1">'общехоз расходы'!D71</f>
        <v>0</v>
      </c>
      <c r="L12" s="136">
        <f ca="1">'общехоз расходы'!E71</f>
        <v>0</v>
      </c>
      <c r="M12" s="136">
        <f ca="1">'общехоз расходы'!F71</f>
        <v>0</v>
      </c>
      <c r="N12" s="136">
        <f ca="1">'общехоз расходы'!G71</f>
        <v>0</v>
      </c>
      <c r="O12" s="114"/>
      <c r="P12" s="114"/>
      <c r="Q12" s="114"/>
      <c r="R12" s="114"/>
      <c r="S12" s="115"/>
      <c r="T12" s="115"/>
      <c r="U12" s="116">
        <f t="shared" si="0"/>
        <v>0</v>
      </c>
      <c r="V12" s="117">
        <f>G12*6</f>
        <v>450000</v>
      </c>
      <c r="W12" s="147">
        <f>V12-U12</f>
        <v>450000</v>
      </c>
    </row>
    <row r="13" spans="1:23" ht="15.75">
      <c r="A13" s="63" t="s">
        <v>15</v>
      </c>
      <c r="B13" s="41"/>
      <c r="C13" s="41"/>
      <c r="D13" s="41"/>
      <c r="E13" s="41"/>
      <c r="F13" s="103">
        <v>160000</v>
      </c>
      <c r="G13" s="111">
        <f t="shared" ref="G13:G31" si="2">F13/12</f>
        <v>13333.333333333334</v>
      </c>
      <c r="H13" s="86"/>
      <c r="I13" s="137">
        <f ca="1">'программ обеспечение'!B10</f>
        <v>10694</v>
      </c>
      <c r="J13" s="137">
        <f ca="1">'программ обеспечение'!C10</f>
        <v>0</v>
      </c>
      <c r="K13" s="137">
        <f ca="1">'программ обеспечение'!D10</f>
        <v>18516</v>
      </c>
      <c r="L13" s="137">
        <f ca="1">'программ обеспечение'!E10</f>
        <v>8400</v>
      </c>
      <c r="M13" s="137">
        <f ca="1">'программ обеспечение'!F10</f>
        <v>0</v>
      </c>
      <c r="N13" s="137">
        <f ca="1">'программ обеспечение'!G10</f>
        <v>0</v>
      </c>
      <c r="O13" s="130"/>
      <c r="P13" s="130"/>
      <c r="Q13" s="130"/>
      <c r="R13" s="130"/>
      <c r="S13" s="131"/>
      <c r="T13" s="131"/>
      <c r="U13" s="116">
        <f t="shared" si="0"/>
        <v>37610</v>
      </c>
      <c r="V13" s="117">
        <f t="shared" ref="V13:V31" si="3">G13*6</f>
        <v>80000</v>
      </c>
      <c r="W13" s="147">
        <f t="shared" ref="W13:W31" si="4">V13-U13</f>
        <v>42390</v>
      </c>
    </row>
    <row r="14" spans="1:23" ht="15.75">
      <c r="A14" s="59" t="s">
        <v>16</v>
      </c>
      <c r="B14" s="46"/>
      <c r="C14" s="46"/>
      <c r="D14" s="46"/>
      <c r="E14" s="69"/>
      <c r="F14" s="110">
        <v>140000</v>
      </c>
      <c r="G14" s="111">
        <f t="shared" si="2"/>
        <v>11666.666666666666</v>
      </c>
      <c r="H14" s="119"/>
      <c r="I14" s="136">
        <f ca="1">'услуги связи'!B6</f>
        <v>7000</v>
      </c>
      <c r="J14" s="136">
        <f ca="1">'услуги связи'!C6</f>
        <v>12195.7</v>
      </c>
      <c r="K14" s="136">
        <f ca="1">'услуги связи'!D6</f>
        <v>12000</v>
      </c>
      <c r="L14" s="136">
        <f ca="1">'услуги связи'!E6</f>
        <v>12000</v>
      </c>
      <c r="M14" s="136">
        <f ca="1">'услуги связи'!F6</f>
        <v>0</v>
      </c>
      <c r="N14" s="136">
        <f ca="1">'услуги связи'!G6</f>
        <v>0</v>
      </c>
      <c r="O14" s="114"/>
      <c r="P14" s="114"/>
      <c r="Q14" s="114"/>
      <c r="R14" s="114"/>
      <c r="S14" s="115"/>
      <c r="T14" s="115"/>
      <c r="U14" s="116">
        <f t="shared" si="0"/>
        <v>43195.7</v>
      </c>
      <c r="V14" s="117">
        <f t="shared" si="3"/>
        <v>70000</v>
      </c>
      <c r="W14" s="147">
        <f t="shared" si="4"/>
        <v>26804.300000000003</v>
      </c>
    </row>
    <row r="15" spans="1:23" ht="15.75">
      <c r="A15" s="63" t="s">
        <v>17</v>
      </c>
      <c r="B15" s="41"/>
      <c r="C15" s="41"/>
      <c r="D15" s="41"/>
      <c r="E15" s="70"/>
      <c r="F15" s="103">
        <v>300000</v>
      </c>
      <c r="G15" s="111">
        <f t="shared" si="2"/>
        <v>25000</v>
      </c>
      <c r="H15" s="86"/>
      <c r="I15" s="137" t="e">
        <f ca="1">#REF!</f>
        <v>#REF!</v>
      </c>
      <c r="J15" s="137" t="e">
        <f ca="1">#REF!</f>
        <v>#REF!</v>
      </c>
      <c r="K15" s="137" t="e">
        <f ca="1">#REF!</f>
        <v>#REF!</v>
      </c>
      <c r="L15" s="137" t="e">
        <f ca="1">#REF!</f>
        <v>#REF!</v>
      </c>
      <c r="M15" s="137">
        <f ca="1">'программ обеспечение'!F12</f>
        <v>0</v>
      </c>
      <c r="N15" s="137">
        <f ca="1">'программ обеспечение'!G12</f>
        <v>0</v>
      </c>
      <c r="O15" s="130"/>
      <c r="P15" s="130"/>
      <c r="Q15" s="130"/>
      <c r="R15" s="130"/>
      <c r="S15" s="131"/>
      <c r="T15" s="131"/>
      <c r="U15" s="116" t="e">
        <f t="shared" si="0"/>
        <v>#REF!</v>
      </c>
      <c r="V15" s="117">
        <f t="shared" si="3"/>
        <v>150000</v>
      </c>
      <c r="W15" s="147" t="e">
        <f t="shared" si="4"/>
        <v>#REF!</v>
      </c>
    </row>
    <row r="16" spans="1:23" ht="15.75">
      <c r="A16" s="63" t="s">
        <v>46</v>
      </c>
      <c r="B16" s="41"/>
      <c r="C16" s="41"/>
      <c r="D16" s="41"/>
      <c r="E16" s="70"/>
      <c r="F16" s="103">
        <v>7890000</v>
      </c>
      <c r="G16" s="111">
        <f t="shared" si="2"/>
        <v>657500</v>
      </c>
      <c r="H16" s="86"/>
      <c r="I16" s="137">
        <f ca="1">'з пл'!B6</f>
        <v>593046.91</v>
      </c>
      <c r="J16" s="137">
        <f ca="1">'з пл'!C6</f>
        <v>627438.10000000009</v>
      </c>
      <c r="K16" s="137">
        <f ca="1">'з пл'!D6</f>
        <v>505355.94</v>
      </c>
      <c r="L16" s="137">
        <f ca="1">'з пл'!E6</f>
        <v>665331.75000000012</v>
      </c>
      <c r="M16" s="137">
        <f ca="1">'з пл'!F6</f>
        <v>0</v>
      </c>
      <c r="N16" s="137">
        <f ca="1">'з пл'!G6</f>
        <v>0</v>
      </c>
      <c r="O16" s="130"/>
      <c r="P16" s="130"/>
      <c r="Q16" s="130"/>
      <c r="R16" s="130"/>
      <c r="S16" s="131"/>
      <c r="T16" s="131"/>
      <c r="U16" s="116">
        <f t="shared" si="0"/>
        <v>2391172.7000000002</v>
      </c>
      <c r="V16" s="117">
        <f t="shared" si="3"/>
        <v>3945000</v>
      </c>
      <c r="W16" s="147">
        <f t="shared" si="4"/>
        <v>1553827.2999999998</v>
      </c>
    </row>
    <row r="17" spans="1:24" ht="15.75">
      <c r="A17" s="63" t="s">
        <v>19</v>
      </c>
      <c r="B17" s="41"/>
      <c r="C17" s="41"/>
      <c r="D17" s="41"/>
      <c r="E17" s="41"/>
      <c r="F17" s="103">
        <v>500000</v>
      </c>
      <c r="G17" s="111">
        <f t="shared" si="2"/>
        <v>41666.666666666664</v>
      </c>
      <c r="H17" s="86"/>
      <c r="I17" s="137">
        <f ca="1">'премиальный фонд'!B5</f>
        <v>41513.65</v>
      </c>
      <c r="J17" s="137">
        <f ca="1">'премиальный фонд'!C5</f>
        <v>20663.099999999999</v>
      </c>
      <c r="K17" s="137">
        <f ca="1">'премиальный фонд'!D5</f>
        <v>0</v>
      </c>
      <c r="L17" s="137">
        <f ca="1">'премиальный фонд'!E5</f>
        <v>31859.23</v>
      </c>
      <c r="M17" s="137">
        <f ca="1">'премиальный фонд'!F5</f>
        <v>0</v>
      </c>
      <c r="N17" s="137">
        <f ca="1">'премиальный фонд'!G5</f>
        <v>0</v>
      </c>
      <c r="O17" s="130"/>
      <c r="P17" s="130"/>
      <c r="Q17" s="130"/>
      <c r="R17" s="130"/>
      <c r="S17" s="131"/>
      <c r="T17" s="131"/>
      <c r="U17" s="116">
        <f t="shared" si="0"/>
        <v>94035.98</v>
      </c>
      <c r="V17" s="117">
        <f t="shared" si="3"/>
        <v>250000</v>
      </c>
      <c r="W17" s="147">
        <f t="shared" si="4"/>
        <v>155964.02000000002</v>
      </c>
    </row>
    <row r="18" spans="1:24" ht="15.75">
      <c r="A18" s="63" t="s">
        <v>20</v>
      </c>
      <c r="B18" s="41"/>
      <c r="C18" s="41"/>
      <c r="D18" s="41"/>
      <c r="E18" s="41"/>
      <c r="F18" s="103">
        <v>2517000</v>
      </c>
      <c r="G18" s="111">
        <f t="shared" si="2"/>
        <v>209750</v>
      </c>
      <c r="H18" s="86"/>
      <c r="I18" s="137">
        <f ca="1">'налог с ФОТ'!B6</f>
        <v>203081.56</v>
      </c>
      <c r="J18" s="137">
        <f ca="1">'налог с ФОТ'!C6</f>
        <v>196705.94</v>
      </c>
      <c r="K18" s="137">
        <f ca="1">'налог с ФОТ'!D6</f>
        <v>150408.94</v>
      </c>
      <c r="L18" s="137">
        <f ca="1">'налог с ФОТ'!E6</f>
        <v>185680.2</v>
      </c>
      <c r="M18" s="137">
        <f ca="1">'налог с ФОТ'!F6</f>
        <v>0</v>
      </c>
      <c r="N18" s="137">
        <f ca="1">'налог с ФОТ'!G6</f>
        <v>0</v>
      </c>
      <c r="O18" s="130"/>
      <c r="P18" s="130"/>
      <c r="Q18" s="130"/>
      <c r="R18" s="130"/>
      <c r="S18" s="131"/>
      <c r="T18" s="131"/>
      <c r="U18" s="116">
        <f t="shared" si="0"/>
        <v>735876.6399999999</v>
      </c>
      <c r="V18" s="117">
        <f t="shared" si="3"/>
        <v>1258500</v>
      </c>
      <c r="W18" s="147">
        <f t="shared" si="4"/>
        <v>522623.3600000001</v>
      </c>
    </row>
    <row r="19" spans="1:24" ht="15.75">
      <c r="A19" s="63" t="s">
        <v>77</v>
      </c>
      <c r="B19" s="41"/>
      <c r="C19" s="41"/>
      <c r="D19" s="41"/>
      <c r="E19" s="41"/>
      <c r="F19" s="103">
        <v>200000</v>
      </c>
      <c r="G19" s="111">
        <f t="shared" si="2"/>
        <v>16666.666666666668</v>
      </c>
      <c r="H19" s="86"/>
      <c r="I19" s="137">
        <f ca="1">'приобрт инвентаря и оборуд'!B24</f>
        <v>14800</v>
      </c>
      <c r="J19" s="137">
        <f ca="1">'приобрт инвентаря и оборуд'!C24</f>
        <v>785</v>
      </c>
      <c r="K19" s="137">
        <f ca="1">'приобрт инвентаря и оборуд'!D24</f>
        <v>19614</v>
      </c>
      <c r="L19" s="137">
        <f ca="1">'приобрт инвентаря и оборуд'!E24</f>
        <v>2770</v>
      </c>
      <c r="M19" s="137">
        <f ca="1">'приобрт инвентаря и оборуд'!F24</f>
        <v>0</v>
      </c>
      <c r="N19" s="137">
        <f ca="1">'приобрт инвентаря и оборуд'!G24</f>
        <v>0</v>
      </c>
      <c r="O19" s="130"/>
      <c r="P19" s="130"/>
      <c r="Q19" s="130"/>
      <c r="R19" s="130"/>
      <c r="S19" s="131"/>
      <c r="T19" s="131"/>
      <c r="U19" s="116">
        <f t="shared" si="0"/>
        <v>37969</v>
      </c>
      <c r="V19" s="117">
        <f t="shared" si="3"/>
        <v>100000</v>
      </c>
      <c r="W19" s="147">
        <f t="shared" si="4"/>
        <v>62031</v>
      </c>
    </row>
    <row r="20" spans="1:24" ht="15.75">
      <c r="A20" s="59" t="s">
        <v>22</v>
      </c>
      <c r="B20" s="46"/>
      <c r="C20" s="46"/>
      <c r="D20" s="46"/>
      <c r="E20" s="46"/>
      <c r="F20" s="110">
        <v>1950000</v>
      </c>
      <c r="G20" s="111">
        <f t="shared" si="2"/>
        <v>162500</v>
      </c>
      <c r="H20" s="119"/>
      <c r="I20" s="136">
        <f ca="1">'вывоз мусора'!B10</f>
        <v>508500</v>
      </c>
      <c r="J20" s="136">
        <f ca="1">'вывоз мусора'!C10</f>
        <v>481000</v>
      </c>
      <c r="K20" s="136">
        <f ca="1">'вывоз мусора'!D10</f>
        <v>457000</v>
      </c>
      <c r="L20" s="136">
        <f ca="1">'вывоз мусора'!E10</f>
        <v>478000</v>
      </c>
      <c r="M20" s="136">
        <f ca="1">'вывоз мусора'!F10</f>
        <v>0</v>
      </c>
      <c r="N20" s="136">
        <f ca="1">'вывоз мусора'!G10</f>
        <v>0</v>
      </c>
      <c r="O20" s="114"/>
      <c r="P20" s="114"/>
      <c r="Q20" s="114"/>
      <c r="R20" s="114"/>
      <c r="S20" s="115"/>
      <c r="T20" s="115"/>
      <c r="U20" s="116">
        <f t="shared" si="0"/>
        <v>1924500</v>
      </c>
      <c r="V20" s="117">
        <f t="shared" si="3"/>
        <v>975000</v>
      </c>
      <c r="W20" s="147">
        <f t="shared" si="4"/>
        <v>-949500</v>
      </c>
    </row>
    <row r="21" spans="1:24" ht="15.75">
      <c r="A21" s="59" t="s">
        <v>23</v>
      </c>
      <c r="B21" s="46"/>
      <c r="C21" s="46"/>
      <c r="D21" s="46"/>
      <c r="E21" s="69"/>
      <c r="F21" s="110">
        <v>7400000</v>
      </c>
      <c r="G21" s="111">
        <f t="shared" si="2"/>
        <v>616666.66666666663</v>
      </c>
      <c r="H21" s="119"/>
      <c r="I21" s="136">
        <f ca="1">'сод охраны'!B7</f>
        <v>517121.4</v>
      </c>
      <c r="J21" s="136">
        <f ca="1">'сод охраны'!C7</f>
        <v>517121.4</v>
      </c>
      <c r="K21" s="136">
        <f ca="1">'сод охраны'!D7</f>
        <v>517121.4</v>
      </c>
      <c r="L21" s="136">
        <f ca="1">'сод охраны'!E7</f>
        <v>517121.4</v>
      </c>
      <c r="M21" s="136">
        <f ca="1">'сод охраны'!F7</f>
        <v>0</v>
      </c>
      <c r="N21" s="136">
        <f ca="1">'сод охраны'!G7</f>
        <v>0</v>
      </c>
      <c r="O21" s="114"/>
      <c r="P21" s="114"/>
      <c r="Q21" s="114"/>
      <c r="R21" s="114"/>
      <c r="S21" s="115"/>
      <c r="T21" s="115"/>
      <c r="U21" s="116">
        <f t="shared" si="0"/>
        <v>2068485.6</v>
      </c>
      <c r="V21" s="117">
        <f t="shared" si="3"/>
        <v>3700000</v>
      </c>
      <c r="W21" s="147">
        <f t="shared" si="4"/>
        <v>1631514.4</v>
      </c>
    </row>
    <row r="22" spans="1:24" ht="15.75">
      <c r="A22" s="63" t="s">
        <v>24</v>
      </c>
      <c r="B22" s="41"/>
      <c r="C22" s="41"/>
      <c r="D22" s="41"/>
      <c r="E22" s="41"/>
      <c r="F22" s="103">
        <v>230000</v>
      </c>
      <c r="G22" s="111">
        <f t="shared" si="2"/>
        <v>19166.666666666668</v>
      </c>
      <c r="H22" s="86"/>
      <c r="I22" s="137">
        <f ca="1">'содерж газ оборуд'!B6</f>
        <v>20697.669999999998</v>
      </c>
      <c r="J22" s="137">
        <f ca="1">'содерж газ оборуд'!C6</f>
        <v>20697.669999999998</v>
      </c>
      <c r="K22" s="137">
        <f ca="1">'содерж газ оборуд'!D6</f>
        <v>20697.669999999998</v>
      </c>
      <c r="L22" s="137">
        <f ca="1">'содерж газ оборуд'!E6</f>
        <v>20697.669999999998</v>
      </c>
      <c r="M22" s="137">
        <f ca="1">'содерж газ оборуд'!F6</f>
        <v>0</v>
      </c>
      <c r="N22" s="137">
        <f ca="1">'содерж газ оборуд'!G6</f>
        <v>0</v>
      </c>
      <c r="O22" s="130"/>
      <c r="P22" s="130"/>
      <c r="Q22" s="130"/>
      <c r="R22" s="130"/>
      <c r="S22" s="131"/>
      <c r="T22" s="131"/>
      <c r="U22" s="116">
        <f t="shared" si="0"/>
        <v>82790.679999999993</v>
      </c>
      <c r="V22" s="117">
        <f t="shared" si="3"/>
        <v>115000</v>
      </c>
      <c r="W22" s="147">
        <f t="shared" si="4"/>
        <v>32209.320000000007</v>
      </c>
    </row>
    <row r="23" spans="1:24" ht="15.75">
      <c r="A23" s="59" t="s">
        <v>25</v>
      </c>
      <c r="B23" s="46"/>
      <c r="C23" s="46"/>
      <c r="D23" s="46"/>
      <c r="E23" s="46"/>
      <c r="F23" s="110">
        <v>1240000</v>
      </c>
      <c r="G23" s="111">
        <f t="shared" si="2"/>
        <v>103333.33333333333</v>
      </c>
      <c r="H23" s="119"/>
      <c r="I23" s="136">
        <f ca="1">'сод сетей водоснабжения'!B33</f>
        <v>12350</v>
      </c>
      <c r="J23" s="136">
        <f ca="1">'сод сетей водоснабжения'!C33</f>
        <v>33407</v>
      </c>
      <c r="K23" s="136">
        <f ca="1">'сод сетей водоснабжения'!D33</f>
        <v>11670.7</v>
      </c>
      <c r="L23" s="136">
        <f ca="1">'сод сетей водоснабжения'!E33</f>
        <v>7140</v>
      </c>
      <c r="M23" s="136">
        <f ca="1">'сод сетей водоснабжения'!F33</f>
        <v>0</v>
      </c>
      <c r="N23" s="136">
        <f ca="1">'сод сетей водоснабжения'!G33</f>
        <v>0</v>
      </c>
      <c r="O23" s="114"/>
      <c r="P23" s="114"/>
      <c r="Q23" s="114"/>
      <c r="R23" s="114"/>
      <c r="S23" s="115"/>
      <c r="T23" s="115"/>
      <c r="U23" s="116">
        <f t="shared" si="0"/>
        <v>64567.7</v>
      </c>
      <c r="V23" s="117">
        <f t="shared" si="3"/>
        <v>620000</v>
      </c>
      <c r="W23" s="147">
        <f t="shared" si="4"/>
        <v>555432.30000000005</v>
      </c>
    </row>
    <row r="24" spans="1:24" ht="15.75">
      <c r="A24" s="59" t="s">
        <v>70</v>
      </c>
      <c r="B24" s="46"/>
      <c r="C24" s="46"/>
      <c r="D24" s="46"/>
      <c r="E24" s="46"/>
      <c r="F24" s="110">
        <f>250000+480000</f>
        <v>730000</v>
      </c>
      <c r="G24" s="111">
        <f t="shared" si="2"/>
        <v>60833.333333333336</v>
      </c>
      <c r="H24" s="119"/>
      <c r="I24" s="136" t="e">
        <f>#REF!</f>
        <v>#REF!</v>
      </c>
      <c r="J24" s="136" t="e">
        <f>#REF!</f>
        <v>#REF!</v>
      </c>
      <c r="K24" s="136" t="e">
        <f>#REF!</f>
        <v>#REF!</v>
      </c>
      <c r="L24" s="136" t="e">
        <f>#REF!</f>
        <v>#REF!</v>
      </c>
      <c r="M24" s="136" t="e">
        <f>#REF!</f>
        <v>#REF!</v>
      </c>
      <c r="N24" s="136" t="e">
        <f>#REF!</f>
        <v>#REF!</v>
      </c>
      <c r="O24" s="114"/>
      <c r="P24" s="114"/>
      <c r="Q24" s="114"/>
      <c r="R24" s="114"/>
      <c r="S24" s="115"/>
      <c r="T24" s="115"/>
      <c r="U24" s="116" t="e">
        <f t="shared" si="0"/>
        <v>#REF!</v>
      </c>
      <c r="V24" s="117">
        <f t="shared" si="3"/>
        <v>365000</v>
      </c>
      <c r="W24" s="147" t="e">
        <f t="shared" si="4"/>
        <v>#REF!</v>
      </c>
    </row>
    <row r="25" spans="1:24" ht="15.75">
      <c r="A25" s="59" t="s">
        <v>49</v>
      </c>
      <c r="B25" s="46"/>
      <c r="C25" s="46"/>
      <c r="D25" s="46"/>
      <c r="E25" s="46"/>
      <c r="F25" s="110">
        <v>250000</v>
      </c>
      <c r="G25" s="111">
        <f t="shared" si="2"/>
        <v>20833.333333333332</v>
      </c>
      <c r="H25" s="119"/>
      <c r="I25" s="136" t="e">
        <f>#REF!</f>
        <v>#REF!</v>
      </c>
      <c r="J25" s="136" t="e">
        <f>#REF!</f>
        <v>#REF!</v>
      </c>
      <c r="K25" s="136" t="e">
        <f>#REF!</f>
        <v>#REF!</v>
      </c>
      <c r="L25" s="136" t="e">
        <f>#REF!</f>
        <v>#REF!</v>
      </c>
      <c r="M25" s="136" t="e">
        <f>#REF!</f>
        <v>#REF!</v>
      </c>
      <c r="N25" s="136" t="e">
        <f>#REF!</f>
        <v>#REF!</v>
      </c>
      <c r="O25" s="114"/>
      <c r="P25" s="114"/>
      <c r="Q25" s="114"/>
      <c r="R25" s="114"/>
      <c r="S25" s="115"/>
      <c r="T25" s="115"/>
      <c r="U25" s="116" t="e">
        <f t="shared" si="0"/>
        <v>#REF!</v>
      </c>
      <c r="V25" s="117">
        <f t="shared" si="3"/>
        <v>125000</v>
      </c>
      <c r="W25" s="147" t="e">
        <f t="shared" si="4"/>
        <v>#REF!</v>
      </c>
    </row>
    <row r="26" spans="1:24" ht="15.75">
      <c r="A26" s="59" t="s">
        <v>50</v>
      </c>
      <c r="B26" s="46"/>
      <c r="C26" s="46"/>
      <c r="D26" s="46"/>
      <c r="E26" s="46"/>
      <c r="F26" s="110">
        <v>1800000</v>
      </c>
      <c r="G26" s="111">
        <f t="shared" si="2"/>
        <v>150000</v>
      </c>
      <c r="H26" s="119"/>
      <c r="I26" s="136">
        <f ca="1">электроснабжение!B21</f>
        <v>90104.69</v>
      </c>
      <c r="J26" s="136">
        <f ca="1">электроснабжение!C21</f>
        <v>76105.11</v>
      </c>
      <c r="K26" s="136">
        <f ca="1">электроснабжение!D21</f>
        <v>134348.87</v>
      </c>
      <c r="L26" s="136">
        <f ca="1">электроснабжение!E21</f>
        <v>192716.59000000003</v>
      </c>
      <c r="M26" s="136">
        <f ca="1">электроснабжение!F21</f>
        <v>0</v>
      </c>
      <c r="N26" s="136">
        <f ca="1">электроснабжение!G21</f>
        <v>0</v>
      </c>
      <c r="O26" s="114"/>
      <c r="P26" s="114"/>
      <c r="Q26" s="114"/>
      <c r="R26" s="114"/>
      <c r="S26" s="115"/>
      <c r="T26" s="115"/>
      <c r="U26" s="116">
        <f t="shared" si="0"/>
        <v>493275.26</v>
      </c>
      <c r="V26" s="117">
        <f t="shared" si="3"/>
        <v>900000</v>
      </c>
      <c r="W26" s="147">
        <f t="shared" si="4"/>
        <v>406724.74</v>
      </c>
    </row>
    <row r="27" spans="1:24" ht="15.75">
      <c r="A27" s="59" t="s">
        <v>28</v>
      </c>
      <c r="B27" s="46"/>
      <c r="C27" s="46"/>
      <c r="D27" s="46"/>
      <c r="E27" s="46"/>
      <c r="F27" s="110">
        <v>1700000</v>
      </c>
      <c r="G27" s="111">
        <f t="shared" si="2"/>
        <v>141666.66666666666</v>
      </c>
      <c r="H27" s="119"/>
      <c r="I27" s="136" t="e">
        <f>#REF!</f>
        <v>#REF!</v>
      </c>
      <c r="J27" s="136" t="e">
        <f>#REF!</f>
        <v>#REF!</v>
      </c>
      <c r="K27" s="136" t="e">
        <f>#REF!</f>
        <v>#REF!</v>
      </c>
      <c r="L27" s="136" t="e">
        <f>#REF!</f>
        <v>#REF!</v>
      </c>
      <c r="M27" s="136" t="e">
        <f>#REF!</f>
        <v>#REF!</v>
      </c>
      <c r="N27" s="136" t="e">
        <f>#REF!</f>
        <v>#REF!</v>
      </c>
      <c r="O27" s="114"/>
      <c r="P27" s="114"/>
      <c r="Q27" s="114"/>
      <c r="R27" s="114"/>
      <c r="S27" s="115"/>
      <c r="T27" s="115"/>
      <c r="U27" s="116" t="e">
        <f t="shared" si="0"/>
        <v>#REF!</v>
      </c>
      <c r="V27" s="117">
        <f t="shared" si="3"/>
        <v>850000</v>
      </c>
      <c r="W27" s="147" t="e">
        <f t="shared" si="4"/>
        <v>#REF!</v>
      </c>
    </row>
    <row r="28" spans="1:24" ht="15.75">
      <c r="A28" s="59" t="s">
        <v>79</v>
      </c>
      <c r="B28" s="46"/>
      <c r="C28" s="46"/>
      <c r="D28" s="46"/>
      <c r="E28" s="46"/>
      <c r="F28" s="110">
        <v>600000</v>
      </c>
      <c r="G28" s="111">
        <f t="shared" si="2"/>
        <v>50000</v>
      </c>
      <c r="H28" s="119"/>
      <c r="I28" s="136">
        <f ca="1">'содерж дорог'!B36</f>
        <v>41127.49</v>
      </c>
      <c r="J28" s="136">
        <f ca="1">'содерж дорог'!C36</f>
        <v>3920</v>
      </c>
      <c r="K28" s="136">
        <f ca="1">'содерж дорог'!D36</f>
        <v>35714.97</v>
      </c>
      <c r="L28" s="136">
        <f ca="1">'содерж дорог'!E36</f>
        <v>0</v>
      </c>
      <c r="M28" s="136">
        <f ca="1">'содерж дорог'!F36</f>
        <v>0</v>
      </c>
      <c r="N28" s="136">
        <f ca="1">'содерж дорог'!G36</f>
        <v>0</v>
      </c>
      <c r="O28" s="114"/>
      <c r="P28" s="114"/>
      <c r="Q28" s="114"/>
      <c r="R28" s="114"/>
      <c r="S28" s="115"/>
      <c r="T28" s="115"/>
      <c r="U28" s="116">
        <f t="shared" si="0"/>
        <v>80762.459999999992</v>
      </c>
      <c r="V28" s="117">
        <f t="shared" si="3"/>
        <v>300000</v>
      </c>
      <c r="W28" s="147">
        <f t="shared" si="4"/>
        <v>219237.54</v>
      </c>
    </row>
    <row r="29" spans="1:24" ht="15.75">
      <c r="A29" s="59" t="s">
        <v>52</v>
      </c>
      <c r="B29" s="46"/>
      <c r="C29" s="46"/>
      <c r="D29" s="46"/>
      <c r="E29" s="46"/>
      <c r="F29" s="110">
        <v>250000</v>
      </c>
      <c r="G29" s="111">
        <f t="shared" si="2"/>
        <v>20833.333333333332</v>
      </c>
      <c r="H29" s="119"/>
      <c r="I29" s="136">
        <f ca="1">благоустройство!B45</f>
        <v>4880.2</v>
      </c>
      <c r="J29" s="136">
        <f ca="1">благоустройство!C45</f>
        <v>37009</v>
      </c>
      <c r="K29" s="136">
        <f ca="1">благоустройство!D45</f>
        <v>41317.699999999997</v>
      </c>
      <c r="L29" s="136">
        <f ca="1">благоустройство!E45</f>
        <v>71655.73</v>
      </c>
      <c r="M29" s="136">
        <f ca="1">благоустройство!F45</f>
        <v>0</v>
      </c>
      <c r="N29" s="136">
        <f ca="1">благоустройство!G45</f>
        <v>0</v>
      </c>
      <c r="O29" s="114"/>
      <c r="P29" s="114"/>
      <c r="Q29" s="114"/>
      <c r="R29" s="114"/>
      <c r="S29" s="115"/>
      <c r="T29" s="115"/>
      <c r="U29" s="116">
        <f t="shared" si="0"/>
        <v>154862.63</v>
      </c>
      <c r="V29" s="117">
        <f t="shared" si="3"/>
        <v>125000</v>
      </c>
      <c r="W29" s="147">
        <f t="shared" si="4"/>
        <v>-29862.630000000005</v>
      </c>
    </row>
    <row r="30" spans="1:24" ht="15.75">
      <c r="A30" s="59" t="s">
        <v>78</v>
      </c>
      <c r="B30" s="46"/>
      <c r="C30" s="46"/>
      <c r="D30" s="46"/>
      <c r="E30" s="46"/>
      <c r="F30" s="110">
        <v>719200</v>
      </c>
      <c r="G30" s="111">
        <f t="shared" si="2"/>
        <v>59933.333333333336</v>
      </c>
      <c r="H30" s="119"/>
      <c r="I30" s="136" t="e">
        <f>#REF!</f>
        <v>#REF!</v>
      </c>
      <c r="J30" s="136" t="e">
        <f>#REF!</f>
        <v>#REF!</v>
      </c>
      <c r="K30" s="136" t="e">
        <f>#REF!</f>
        <v>#REF!</v>
      </c>
      <c r="L30" s="136" t="e">
        <f>#REF!</f>
        <v>#REF!</v>
      </c>
      <c r="M30" s="136" t="e">
        <f>#REF!</f>
        <v>#REF!</v>
      </c>
      <c r="N30" s="136" t="e">
        <f>#REF!</f>
        <v>#REF!</v>
      </c>
      <c r="O30" s="114"/>
      <c r="P30" s="114"/>
      <c r="Q30" s="114"/>
      <c r="R30" s="114"/>
      <c r="S30" s="115"/>
      <c r="T30" s="115"/>
      <c r="U30" s="116" t="e">
        <f t="shared" si="0"/>
        <v>#REF!</v>
      </c>
      <c r="V30" s="117">
        <f t="shared" si="3"/>
        <v>359600</v>
      </c>
      <c r="W30" s="147" t="e">
        <f t="shared" si="4"/>
        <v>#REF!</v>
      </c>
    </row>
    <row r="31" spans="1:24" ht="16.5" thickBot="1">
      <c r="A31" s="87" t="s">
        <v>54</v>
      </c>
      <c r="B31" s="85"/>
      <c r="C31" s="85"/>
      <c r="D31" s="85"/>
      <c r="E31" s="85"/>
      <c r="F31" s="138">
        <v>1473800</v>
      </c>
      <c r="G31" s="139">
        <f t="shared" si="2"/>
        <v>122816.66666666667</v>
      </c>
      <c r="H31" s="123"/>
      <c r="I31" s="140">
        <f ca="1">'резервный фонд'!B64</f>
        <v>161412.76</v>
      </c>
      <c r="J31" s="140">
        <f ca="1">'резервный фонд'!C64</f>
        <v>20000</v>
      </c>
      <c r="K31" s="140">
        <f ca="1">'резервный фонд'!D64</f>
        <v>53301.2</v>
      </c>
      <c r="L31" s="140">
        <f ca="1">'резервный фонд'!E64</f>
        <v>418529</v>
      </c>
      <c r="M31" s="140">
        <f ca="1">'резервный фонд'!F64</f>
        <v>0</v>
      </c>
      <c r="N31" s="140">
        <f ca="1">'резервный фонд'!G64</f>
        <v>0</v>
      </c>
      <c r="O31" s="127"/>
      <c r="P31" s="127"/>
      <c r="Q31" s="127"/>
      <c r="R31" s="127"/>
      <c r="S31" s="141"/>
      <c r="T31" s="141"/>
      <c r="U31" s="129">
        <f t="shared" si="0"/>
        <v>653242.96</v>
      </c>
      <c r="V31" s="117">
        <f t="shared" si="3"/>
        <v>736900</v>
      </c>
      <c r="W31" s="148">
        <f t="shared" si="4"/>
        <v>83657.040000000037</v>
      </c>
      <c r="X31" s="37"/>
    </row>
    <row r="32" spans="1:24" ht="15.75">
      <c r="A32" s="358" t="s">
        <v>67</v>
      </c>
      <c r="B32" s="359"/>
      <c r="C32" s="359"/>
      <c r="D32" s="359"/>
      <c r="E32" s="360"/>
      <c r="F32" s="103">
        <f>SUM(F12:F31)</f>
        <v>30950000</v>
      </c>
      <c r="G32" s="104">
        <f>SUM(G12:G31)</f>
        <v>2579166.6666666665</v>
      </c>
      <c r="H32" s="86"/>
      <c r="I32" s="102" t="e">
        <f>SUM(I12:I31)</f>
        <v>#REF!</v>
      </c>
      <c r="J32" s="102" t="e">
        <f>SUM(J12:J31)</f>
        <v>#REF!</v>
      </c>
      <c r="K32" s="102" t="e">
        <f t="shared" ref="K32:U32" si="5">SUM(K12:K31)</f>
        <v>#REF!</v>
      </c>
      <c r="L32" s="154" t="e">
        <f t="shared" si="5"/>
        <v>#REF!</v>
      </c>
      <c r="M32" s="174" t="e">
        <f t="shared" si="5"/>
        <v>#REF!</v>
      </c>
      <c r="N32" s="174" t="e">
        <f t="shared" si="5"/>
        <v>#REF!</v>
      </c>
      <c r="O32" s="130">
        <f t="shared" si="5"/>
        <v>0</v>
      </c>
      <c r="P32" s="130">
        <f t="shared" si="5"/>
        <v>0</v>
      </c>
      <c r="Q32" s="130">
        <f t="shared" si="5"/>
        <v>0</v>
      </c>
      <c r="R32" s="130">
        <f t="shared" si="5"/>
        <v>0</v>
      </c>
      <c r="S32" s="131">
        <f t="shared" si="5"/>
        <v>0</v>
      </c>
      <c r="T32" s="131">
        <f t="shared" si="5"/>
        <v>0</v>
      </c>
      <c r="U32" s="132" t="e">
        <f t="shared" si="5"/>
        <v>#REF!</v>
      </c>
      <c r="V32" s="117">
        <f>G32*5</f>
        <v>12895833.333333332</v>
      </c>
      <c r="W32" s="155" t="e">
        <f>SUM(W12:W31)</f>
        <v>#REF!</v>
      </c>
    </row>
    <row r="34" spans="1:23">
      <c r="A34" s="361" t="s">
        <v>82</v>
      </c>
      <c r="B34" s="361"/>
      <c r="C34" s="361"/>
      <c r="D34" s="361"/>
      <c r="E34" s="361"/>
      <c r="F34" s="361"/>
      <c r="G34" s="361"/>
      <c r="H34" s="361"/>
      <c r="I34" s="361"/>
      <c r="J34" s="361"/>
      <c r="K34" s="361"/>
      <c r="L34" s="361"/>
      <c r="M34" s="361"/>
      <c r="N34" s="361"/>
      <c r="O34" s="361"/>
      <c r="P34" s="361"/>
      <c r="Q34" s="361"/>
      <c r="R34" s="361"/>
      <c r="S34" s="361"/>
      <c r="T34" s="361"/>
      <c r="U34" s="361"/>
      <c r="V34" s="166"/>
      <c r="W34" s="166"/>
    </row>
    <row r="35" spans="1:23">
      <c r="A35" s="362" t="s">
        <v>83</v>
      </c>
      <c r="B35" s="363"/>
      <c r="C35" s="363"/>
      <c r="D35" s="363"/>
      <c r="E35" s="363"/>
      <c r="F35" s="364"/>
      <c r="G35" s="364"/>
      <c r="H35" s="363"/>
      <c r="I35" s="364"/>
      <c r="J35" s="364"/>
      <c r="K35" s="364"/>
      <c r="L35" s="363"/>
      <c r="M35" s="168"/>
      <c r="N35" s="168"/>
      <c r="O35" s="168"/>
      <c r="P35" s="168"/>
      <c r="Q35" s="168"/>
      <c r="R35" s="168"/>
      <c r="S35" s="168"/>
      <c r="T35" s="168"/>
      <c r="U35" s="169"/>
      <c r="V35" s="166"/>
      <c r="W35" s="166"/>
    </row>
    <row r="36" spans="1:23">
      <c r="A36" s="349" t="s">
        <v>86</v>
      </c>
      <c r="B36" s="350"/>
      <c r="C36" s="350"/>
      <c r="D36" s="350"/>
      <c r="E36" s="350"/>
      <c r="F36" s="350"/>
      <c r="G36" s="350"/>
      <c r="H36" s="350"/>
      <c r="I36" s="350"/>
      <c r="J36" s="350"/>
      <c r="K36" s="350"/>
      <c r="L36" s="350"/>
      <c r="M36" s="350"/>
      <c r="N36" s="350"/>
      <c r="O36" s="350"/>
      <c r="P36" s="350"/>
      <c r="Q36" s="350"/>
      <c r="R36" s="350"/>
      <c r="S36" s="350"/>
      <c r="T36" s="350"/>
      <c r="U36" s="351"/>
      <c r="V36" s="166"/>
      <c r="W36" s="166"/>
    </row>
    <row r="37" spans="1:23">
      <c r="A37" s="167"/>
      <c r="B37" s="167"/>
      <c r="C37" s="167"/>
      <c r="D37" s="167"/>
      <c r="E37" s="167"/>
      <c r="F37" s="166"/>
      <c r="G37" s="166"/>
      <c r="H37" s="167"/>
      <c r="I37" s="166"/>
      <c r="J37" s="166"/>
      <c r="K37" s="166"/>
      <c r="L37" s="167"/>
      <c r="M37" s="167"/>
      <c r="N37" s="167"/>
      <c r="O37" s="167"/>
      <c r="P37" s="167"/>
      <c r="Q37" s="167"/>
      <c r="R37" s="167"/>
      <c r="S37" s="167"/>
      <c r="T37" s="167"/>
      <c r="U37" s="166"/>
      <c r="V37" s="166"/>
      <c r="W37" s="166"/>
    </row>
    <row r="38" spans="1:23">
      <c r="A38" s="352"/>
      <c r="B38" s="353"/>
      <c r="C38" s="353"/>
      <c r="D38" s="353"/>
      <c r="E38" s="353"/>
      <c r="F38" s="353"/>
      <c r="G38" s="353"/>
      <c r="H38" s="353"/>
      <c r="I38" s="353"/>
      <c r="J38" s="353"/>
      <c r="K38" s="353"/>
      <c r="L38" s="353"/>
      <c r="M38" s="353"/>
      <c r="N38" s="353"/>
      <c r="O38" s="353"/>
      <c r="P38" s="353"/>
      <c r="Q38" s="353"/>
      <c r="R38" s="353"/>
      <c r="S38" s="353"/>
      <c r="T38" s="353"/>
      <c r="U38" s="354"/>
      <c r="V38" s="166"/>
      <c r="W38" s="166"/>
    </row>
    <row r="39" spans="1:23">
      <c r="A39" s="355"/>
      <c r="B39" s="356"/>
      <c r="C39" s="356"/>
      <c r="D39" s="356"/>
      <c r="E39" s="356"/>
      <c r="F39" s="356"/>
      <c r="G39" s="356"/>
      <c r="H39" s="356"/>
      <c r="I39" s="356"/>
      <c r="J39" s="356"/>
      <c r="K39" s="356"/>
      <c r="L39" s="356"/>
      <c r="M39" s="356"/>
      <c r="N39" s="356"/>
      <c r="O39" s="356"/>
      <c r="P39" s="356"/>
      <c r="Q39" s="356"/>
      <c r="R39" s="356"/>
      <c r="S39" s="356"/>
      <c r="T39" s="356"/>
      <c r="U39" s="357"/>
      <c r="V39" s="166"/>
      <c r="W39" s="166"/>
    </row>
    <row r="40" spans="1:23">
      <c r="A40" s="167"/>
      <c r="B40" s="167"/>
      <c r="C40" s="167"/>
      <c r="D40" s="167"/>
      <c r="E40" s="167"/>
      <c r="F40" s="166"/>
      <c r="G40" s="166"/>
      <c r="H40" s="167"/>
      <c r="I40" s="166"/>
      <c r="J40" s="166"/>
      <c r="K40" s="166"/>
      <c r="L40" s="167"/>
      <c r="M40" s="167"/>
      <c r="N40" s="167"/>
      <c r="O40" s="167"/>
      <c r="P40" s="167"/>
      <c r="Q40" s="167"/>
      <c r="R40" s="167"/>
      <c r="S40" s="167"/>
      <c r="T40" s="167"/>
      <c r="U40" s="166"/>
      <c r="V40" s="166"/>
      <c r="W40" s="166"/>
    </row>
    <row r="41" spans="1:23">
      <c r="A41" s="167"/>
      <c r="B41" s="167"/>
      <c r="C41" s="167"/>
      <c r="D41" s="167"/>
      <c r="E41" s="167"/>
      <c r="F41" s="166"/>
      <c r="G41" s="166"/>
      <c r="H41" s="167"/>
      <c r="I41" s="166"/>
      <c r="J41" s="166"/>
      <c r="K41" s="166"/>
      <c r="L41" s="167"/>
      <c r="M41" s="167"/>
      <c r="N41" s="167"/>
      <c r="O41" s="167"/>
      <c r="P41" s="167"/>
      <c r="Q41" s="167"/>
      <c r="R41" s="167"/>
      <c r="S41" s="167"/>
      <c r="T41" s="167"/>
      <c r="U41" s="166"/>
      <c r="V41" s="166"/>
      <c r="W41" s="166"/>
    </row>
    <row r="42" spans="1:23">
      <c r="A42" s="167"/>
      <c r="B42" s="167"/>
      <c r="C42" s="167"/>
      <c r="D42" s="167"/>
      <c r="E42" s="167"/>
      <c r="F42" s="166"/>
      <c r="G42" s="166"/>
      <c r="H42" s="167"/>
      <c r="I42" s="166"/>
      <c r="J42" s="166"/>
      <c r="K42" s="166"/>
      <c r="L42" s="167"/>
      <c r="M42" s="167"/>
      <c r="N42" s="167"/>
      <c r="O42" s="167"/>
      <c r="P42" s="167"/>
      <c r="Q42" s="167"/>
      <c r="R42" s="167"/>
      <c r="S42" s="167"/>
      <c r="T42" s="167"/>
      <c r="U42" s="166"/>
      <c r="V42" s="166"/>
      <c r="W42" s="166"/>
    </row>
    <row r="43" spans="1:23">
      <c r="A43" s="167"/>
      <c r="B43" s="167"/>
      <c r="C43" s="167"/>
      <c r="D43" s="167"/>
      <c r="E43" s="167"/>
      <c r="F43" s="166"/>
      <c r="G43" s="166"/>
      <c r="H43" s="167"/>
      <c r="I43" s="166"/>
      <c r="J43" s="166"/>
      <c r="K43" s="166"/>
      <c r="L43" s="167"/>
      <c r="M43" s="167"/>
      <c r="N43" s="167"/>
      <c r="O43" s="167"/>
      <c r="P43" s="167"/>
      <c r="Q43" s="167"/>
      <c r="R43" s="167"/>
      <c r="S43" s="167"/>
      <c r="T43" s="167"/>
      <c r="U43" s="166"/>
      <c r="V43" s="166"/>
      <c r="W43" s="166"/>
    </row>
    <row r="44" spans="1:23">
      <c r="A44" s="167"/>
      <c r="B44" s="167"/>
      <c r="C44" s="167"/>
      <c r="D44" s="167"/>
      <c r="E44" s="167"/>
      <c r="F44" s="166"/>
      <c r="G44" s="166"/>
      <c r="H44" s="167"/>
      <c r="I44" s="166"/>
      <c r="J44" s="166"/>
      <c r="K44" s="166"/>
      <c r="L44" s="167"/>
      <c r="M44" s="167"/>
      <c r="N44" s="167"/>
      <c r="O44" s="167"/>
      <c r="P44" s="167"/>
      <c r="Q44" s="167"/>
      <c r="R44" s="167"/>
      <c r="S44" s="167"/>
      <c r="T44" s="167"/>
      <c r="U44" s="166"/>
      <c r="V44" s="166"/>
      <c r="W44" s="166"/>
    </row>
    <row r="45" spans="1:23">
      <c r="A45" s="167"/>
      <c r="B45" s="167"/>
      <c r="C45" s="167"/>
      <c r="D45" s="167"/>
      <c r="E45" s="167"/>
      <c r="F45" s="166"/>
      <c r="G45" s="166"/>
      <c r="H45" s="167"/>
      <c r="I45" s="166"/>
      <c r="J45" s="166"/>
      <c r="K45" s="166"/>
      <c r="L45" s="167"/>
      <c r="M45" s="167"/>
      <c r="N45" s="167"/>
      <c r="O45" s="167"/>
      <c r="P45" s="167"/>
      <c r="Q45" s="167"/>
      <c r="R45" s="167"/>
      <c r="S45" s="167"/>
      <c r="T45" s="167"/>
      <c r="U45" s="166"/>
      <c r="V45" s="166"/>
      <c r="W45" s="166"/>
    </row>
    <row r="46" spans="1:23">
      <c r="A46" s="167"/>
      <c r="B46" s="167"/>
      <c r="C46" s="167"/>
      <c r="D46" s="167"/>
      <c r="E46" s="167"/>
      <c r="F46" s="166"/>
      <c r="G46" s="166"/>
      <c r="H46" s="167"/>
      <c r="I46" s="166"/>
      <c r="J46" s="166"/>
      <c r="K46" s="166"/>
      <c r="L46" s="167"/>
      <c r="M46" s="167"/>
      <c r="N46" s="167"/>
      <c r="O46" s="167"/>
      <c r="P46" s="167"/>
      <c r="Q46" s="167"/>
      <c r="R46" s="167"/>
      <c r="S46" s="167"/>
      <c r="T46" s="167"/>
      <c r="U46" s="166"/>
      <c r="V46" s="166"/>
      <c r="W46" s="166"/>
    </row>
    <row r="47" spans="1:23">
      <c r="A47" s="167"/>
      <c r="B47" s="167"/>
      <c r="C47" s="167"/>
      <c r="D47" s="167"/>
      <c r="E47" s="167"/>
      <c r="F47" s="166"/>
      <c r="G47" s="166"/>
      <c r="H47" s="167"/>
      <c r="I47" s="166"/>
      <c r="J47" s="166"/>
      <c r="K47" s="166"/>
      <c r="L47" s="167"/>
      <c r="M47" s="167"/>
      <c r="N47" s="167"/>
      <c r="O47" s="167"/>
      <c r="P47" s="167"/>
      <c r="Q47" s="167"/>
      <c r="R47" s="167"/>
      <c r="S47" s="167"/>
      <c r="T47" s="167"/>
      <c r="U47" s="166"/>
      <c r="V47" s="166"/>
      <c r="W47" s="166"/>
    </row>
    <row r="48" spans="1:23">
      <c r="A48" s="167"/>
      <c r="B48" s="167"/>
      <c r="C48" s="167"/>
      <c r="D48" s="167"/>
      <c r="E48" s="167"/>
      <c r="F48" s="166"/>
      <c r="G48" s="166"/>
      <c r="H48" s="167"/>
      <c r="I48" s="166"/>
      <c r="J48" s="166"/>
      <c r="K48" s="166"/>
      <c r="L48" s="167"/>
      <c r="M48" s="167"/>
      <c r="N48" s="167"/>
      <c r="O48" s="167"/>
      <c r="P48" s="167"/>
      <c r="Q48" s="167"/>
      <c r="R48" s="167"/>
      <c r="S48" s="167"/>
      <c r="T48" s="167"/>
      <c r="U48" s="166"/>
      <c r="V48" s="166"/>
      <c r="W48" s="166"/>
    </row>
    <row r="49" spans="1:23">
      <c r="A49" s="167"/>
      <c r="B49" s="167"/>
      <c r="C49" s="167"/>
      <c r="D49" s="167"/>
      <c r="E49" s="167"/>
      <c r="F49" s="166"/>
      <c r="G49" s="166"/>
      <c r="H49" s="167"/>
      <c r="I49" s="166"/>
      <c r="J49" s="166"/>
      <c r="K49" s="166"/>
      <c r="L49" s="167"/>
      <c r="M49" s="167"/>
      <c r="N49" s="167"/>
      <c r="O49" s="167"/>
      <c r="P49" s="167"/>
      <c r="Q49" s="167"/>
      <c r="R49" s="167"/>
      <c r="S49" s="167"/>
      <c r="T49" s="167"/>
      <c r="U49" s="166"/>
      <c r="V49" s="166"/>
      <c r="W49" s="166"/>
    </row>
    <row r="50" spans="1:23">
      <c r="A50" s="167"/>
      <c r="B50" s="167"/>
      <c r="C50" s="167"/>
      <c r="D50" s="167"/>
      <c r="E50" s="167"/>
      <c r="F50" s="166"/>
      <c r="G50" s="166"/>
      <c r="H50" s="167"/>
      <c r="I50" s="166"/>
      <c r="J50" s="166"/>
      <c r="K50" s="166"/>
      <c r="L50" s="167"/>
      <c r="M50" s="167"/>
      <c r="N50" s="167"/>
      <c r="O50" s="167"/>
      <c r="P50" s="167"/>
      <c r="Q50" s="167"/>
      <c r="R50" s="167"/>
      <c r="S50" s="167"/>
      <c r="T50" s="167"/>
      <c r="U50" s="166"/>
      <c r="V50" s="166"/>
      <c r="W50" s="166"/>
    </row>
    <row r="51" spans="1:23">
      <c r="A51" s="167"/>
      <c r="B51" s="167"/>
      <c r="C51" s="167"/>
      <c r="D51" s="167"/>
      <c r="E51" s="167"/>
      <c r="F51" s="166"/>
      <c r="G51" s="166"/>
      <c r="H51" s="167"/>
      <c r="I51" s="166"/>
      <c r="J51" s="166"/>
      <c r="K51" s="166"/>
      <c r="L51" s="167"/>
      <c r="M51" s="167"/>
      <c r="N51" s="167"/>
      <c r="O51" s="167"/>
      <c r="P51" s="167"/>
      <c r="Q51" s="167"/>
      <c r="R51" s="167"/>
      <c r="S51" s="167"/>
      <c r="T51" s="167"/>
      <c r="U51" s="166"/>
      <c r="V51" s="166"/>
      <c r="W51" s="166"/>
    </row>
    <row r="52" spans="1:23">
      <c r="A52" s="167"/>
      <c r="B52" s="167"/>
      <c r="C52" s="167"/>
      <c r="D52" s="167"/>
      <c r="E52" s="167"/>
      <c r="F52" s="166"/>
      <c r="G52" s="166"/>
      <c r="H52" s="167"/>
      <c r="I52" s="166"/>
      <c r="J52" s="166"/>
      <c r="K52" s="166"/>
      <c r="L52" s="167"/>
      <c r="M52" s="167"/>
      <c r="N52" s="167"/>
      <c r="O52" s="167"/>
      <c r="P52" s="167"/>
      <c r="Q52" s="167"/>
      <c r="R52" s="167"/>
      <c r="S52" s="167"/>
      <c r="T52" s="167"/>
      <c r="U52" s="166"/>
      <c r="V52" s="166"/>
      <c r="W52" s="166"/>
    </row>
    <row r="53" spans="1:23">
      <c r="A53" s="167"/>
      <c r="B53" s="167"/>
      <c r="C53" s="167"/>
      <c r="D53" s="167"/>
      <c r="E53" s="167"/>
      <c r="F53" s="166"/>
      <c r="G53" s="166"/>
      <c r="H53" s="167"/>
      <c r="I53" s="166"/>
      <c r="J53" s="166"/>
      <c r="K53" s="166"/>
      <c r="L53" s="167"/>
      <c r="M53" s="167"/>
      <c r="N53" s="167"/>
      <c r="O53" s="167"/>
      <c r="P53" s="167"/>
      <c r="Q53" s="167"/>
      <c r="R53" s="167"/>
      <c r="S53" s="167"/>
      <c r="T53" s="167"/>
      <c r="U53" s="166"/>
      <c r="V53" s="166"/>
      <c r="W53" s="166"/>
    </row>
    <row r="54" spans="1:23">
      <c r="A54" s="167"/>
      <c r="B54" s="167"/>
      <c r="C54" s="167"/>
      <c r="D54" s="167"/>
      <c r="E54" s="167"/>
      <c r="F54" s="166"/>
      <c r="G54" s="166"/>
      <c r="H54" s="167"/>
      <c r="I54" s="166"/>
      <c r="J54" s="166"/>
      <c r="K54" s="166"/>
      <c r="L54" s="167"/>
      <c r="M54" s="167"/>
      <c r="N54" s="167"/>
      <c r="O54" s="167"/>
      <c r="P54" s="167"/>
      <c r="Q54" s="167"/>
      <c r="R54" s="167"/>
      <c r="S54" s="167"/>
      <c r="T54" s="167"/>
      <c r="U54" s="166"/>
      <c r="V54" s="166"/>
      <c r="W54" s="166"/>
    </row>
    <row r="55" spans="1:23">
      <c r="I55" s="166"/>
    </row>
  </sheetData>
  <mergeCells count="18">
    <mergeCell ref="A36:U36"/>
    <mergeCell ref="A38:U38"/>
    <mergeCell ref="A39:U39"/>
    <mergeCell ref="L3:L4"/>
    <mergeCell ref="U3:U4"/>
    <mergeCell ref="A32:E32"/>
    <mergeCell ref="A34:U34"/>
    <mergeCell ref="A35:L35"/>
    <mergeCell ref="V3:V4"/>
    <mergeCell ref="W3:W4"/>
    <mergeCell ref="A10:E10"/>
    <mergeCell ref="A11:E11"/>
    <mergeCell ref="A3:E3"/>
    <mergeCell ref="F3:F4"/>
    <mergeCell ref="G3:G4"/>
    <mergeCell ref="I3:I4"/>
    <mergeCell ref="J3:J4"/>
    <mergeCell ref="K3:K4"/>
  </mergeCells>
  <phoneticPr fontId="31" type="noConversion"/>
  <pageMargins left="0.70866141732283472" right="0.70866141732283472" top="0" bottom="0" header="0" footer="0"/>
  <pageSetup paperSize="9" scale="91" orientation="landscape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2" tint="-0.499984740745262"/>
  </sheetPr>
  <dimension ref="A1:N26"/>
  <sheetViews>
    <sheetView workbookViewId="0">
      <selection activeCell="A10" sqref="A10"/>
    </sheetView>
  </sheetViews>
  <sheetFormatPr defaultRowHeight="15"/>
  <cols>
    <col min="1" max="1" width="45.42578125" bestFit="1" customWidth="1"/>
    <col min="2" max="2" width="11" style="30" customWidth="1"/>
    <col min="3" max="3" width="11.42578125" style="30" customWidth="1"/>
    <col min="4" max="4" width="10.28515625" style="30" customWidth="1"/>
    <col min="5" max="8" width="9.140625" style="30"/>
    <col min="9" max="9" width="8" style="30" customWidth="1"/>
    <col min="10" max="14" width="9.140625" style="30"/>
  </cols>
  <sheetData>
    <row r="1" spans="1:14">
      <c r="A1" s="14" t="s">
        <v>21</v>
      </c>
      <c r="B1" s="25"/>
      <c r="C1" s="25"/>
      <c r="D1" s="25"/>
      <c r="E1" s="25"/>
      <c r="F1" s="27"/>
      <c r="G1" s="27" t="str">
        <f ca="1">'ВСЕ затраты в 2020-2021 гг'!C1</f>
        <v>2021-2022гг.</v>
      </c>
      <c r="H1" s="27"/>
      <c r="I1" s="27"/>
      <c r="J1" s="27"/>
      <c r="K1" s="25"/>
      <c r="L1" s="25"/>
      <c r="M1" s="25"/>
      <c r="N1" s="24"/>
    </row>
    <row r="2" spans="1:14">
      <c r="A2" s="1"/>
      <c r="B2" s="22" t="s">
        <v>1</v>
      </c>
      <c r="C2" s="22" t="s">
        <v>2</v>
      </c>
      <c r="D2" s="22" t="s">
        <v>3</v>
      </c>
      <c r="E2" s="23" t="s">
        <v>4</v>
      </c>
      <c r="F2" s="22" t="s">
        <v>5</v>
      </c>
      <c r="G2" s="23" t="s">
        <v>6</v>
      </c>
      <c r="H2" s="22" t="s">
        <v>7</v>
      </c>
      <c r="I2" s="23" t="s">
        <v>8</v>
      </c>
      <c r="J2" s="22" t="s">
        <v>9</v>
      </c>
      <c r="K2" s="22" t="s">
        <v>10</v>
      </c>
      <c r="L2" s="22" t="s">
        <v>11</v>
      </c>
      <c r="M2" s="22" t="s">
        <v>12</v>
      </c>
      <c r="N2" s="22" t="s">
        <v>68</v>
      </c>
    </row>
    <row r="3" spans="1:14">
      <c r="A3" s="209" t="s">
        <v>152</v>
      </c>
      <c r="B3" s="93">
        <v>10800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32">
        <f t="shared" ref="N3:N9" si="0">SUM(B3:M3)</f>
        <v>10800</v>
      </c>
    </row>
    <row r="4" spans="1:14">
      <c r="A4" s="209" t="s">
        <v>153</v>
      </c>
      <c r="B4" s="93">
        <v>4000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32">
        <f t="shared" si="0"/>
        <v>4000</v>
      </c>
    </row>
    <row r="5" spans="1:14">
      <c r="A5" s="206" t="s">
        <v>174</v>
      </c>
      <c r="B5" s="93"/>
      <c r="C5" s="93">
        <v>325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32">
        <f t="shared" si="0"/>
        <v>325</v>
      </c>
    </row>
    <row r="6" spans="1:14">
      <c r="A6" s="209" t="s">
        <v>175</v>
      </c>
      <c r="B6" s="93"/>
      <c r="C6" s="93">
        <v>460</v>
      </c>
      <c r="D6" s="93"/>
      <c r="E6" s="93"/>
      <c r="F6" s="93"/>
      <c r="G6" s="93"/>
      <c r="H6" s="93"/>
      <c r="I6" s="93"/>
      <c r="J6" s="93"/>
      <c r="K6" s="93"/>
      <c r="L6" s="93"/>
      <c r="M6" s="93"/>
      <c r="N6" s="32">
        <f t="shared" si="0"/>
        <v>460</v>
      </c>
    </row>
    <row r="7" spans="1:14">
      <c r="A7" s="206" t="s">
        <v>198</v>
      </c>
      <c r="B7" s="190"/>
      <c r="C7" s="93"/>
      <c r="D7" s="93">
        <v>550</v>
      </c>
      <c r="E7" s="93"/>
      <c r="F7" s="93"/>
      <c r="G7" s="93"/>
      <c r="H7" s="93"/>
      <c r="I7" s="93"/>
      <c r="J7" s="93"/>
      <c r="K7" s="93"/>
      <c r="L7" s="93"/>
      <c r="M7" s="93"/>
      <c r="N7" s="32">
        <f t="shared" si="0"/>
        <v>550</v>
      </c>
    </row>
    <row r="8" spans="1:14">
      <c r="A8" s="206" t="s">
        <v>210</v>
      </c>
      <c r="B8" s="190"/>
      <c r="C8" s="93"/>
      <c r="D8" s="93">
        <v>19064</v>
      </c>
      <c r="E8" s="100"/>
      <c r="F8" s="100"/>
      <c r="G8" s="100"/>
      <c r="H8" s="99"/>
      <c r="I8" s="100"/>
      <c r="J8" s="99"/>
      <c r="K8" s="99"/>
      <c r="L8" s="236"/>
      <c r="M8" s="236"/>
      <c r="N8" s="32">
        <f t="shared" si="0"/>
        <v>19064</v>
      </c>
    </row>
    <row r="9" spans="1:14">
      <c r="A9" s="215" t="s">
        <v>232</v>
      </c>
      <c r="B9" s="93"/>
      <c r="C9" s="99"/>
      <c r="D9" s="99"/>
      <c r="E9" s="100">
        <v>1820</v>
      </c>
      <c r="F9" s="100"/>
      <c r="G9" s="100"/>
      <c r="H9" s="99"/>
      <c r="I9" s="100"/>
      <c r="J9" s="99"/>
      <c r="K9" s="99"/>
      <c r="L9" s="236"/>
      <c r="M9" s="236"/>
      <c r="N9" s="32">
        <f t="shared" si="0"/>
        <v>1820</v>
      </c>
    </row>
    <row r="10" spans="1:14">
      <c r="A10" s="215" t="s">
        <v>233</v>
      </c>
      <c r="B10" s="99"/>
      <c r="C10" s="99"/>
      <c r="D10" s="99"/>
      <c r="E10" s="100">
        <v>950</v>
      </c>
      <c r="F10" s="100"/>
      <c r="G10" s="100"/>
      <c r="H10" s="99"/>
      <c r="I10" s="100"/>
      <c r="J10" s="99"/>
      <c r="K10" s="99"/>
      <c r="L10" s="236"/>
      <c r="M10" s="236"/>
      <c r="N10" s="29">
        <f t="shared" ref="N10:N15" si="1">SUM(B10:M10)</f>
        <v>950</v>
      </c>
    </row>
    <row r="11" spans="1:14">
      <c r="A11" s="209"/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237"/>
      <c r="M11" s="93"/>
      <c r="N11" s="29">
        <f t="shared" si="1"/>
        <v>0</v>
      </c>
    </row>
    <row r="12" spans="1:14">
      <c r="A12" s="209"/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237"/>
      <c r="M12" s="99"/>
      <c r="N12" s="29">
        <f t="shared" si="1"/>
        <v>0</v>
      </c>
    </row>
    <row r="13" spans="1:14">
      <c r="A13" s="209"/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237"/>
      <c r="M13" s="99"/>
      <c r="N13" s="29">
        <f t="shared" si="1"/>
        <v>0</v>
      </c>
    </row>
    <row r="14" spans="1:14">
      <c r="A14" s="17"/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237"/>
      <c r="M14" s="236"/>
      <c r="N14" s="32">
        <f t="shared" si="1"/>
        <v>0</v>
      </c>
    </row>
    <row r="15" spans="1:14">
      <c r="A15" s="17"/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237"/>
      <c r="M15" s="236"/>
      <c r="N15" s="32">
        <f t="shared" si="1"/>
        <v>0</v>
      </c>
    </row>
    <row r="16" spans="1:14">
      <c r="A16" s="17"/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237"/>
      <c r="M16" s="236"/>
      <c r="N16" s="32">
        <f t="shared" ref="N16:N23" si="2">SUM(B16:M16)</f>
        <v>0</v>
      </c>
    </row>
    <row r="17" spans="1:14">
      <c r="A17" s="17"/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237"/>
      <c r="M17" s="236"/>
      <c r="N17" s="32">
        <f t="shared" si="2"/>
        <v>0</v>
      </c>
    </row>
    <row r="18" spans="1:14">
      <c r="A18" s="17"/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237"/>
      <c r="M18" s="236"/>
      <c r="N18" s="32">
        <f t="shared" si="2"/>
        <v>0</v>
      </c>
    </row>
    <row r="19" spans="1:14">
      <c r="A19" s="17"/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237"/>
      <c r="M19" s="236"/>
      <c r="N19" s="32">
        <f t="shared" si="2"/>
        <v>0</v>
      </c>
    </row>
    <row r="20" spans="1:14">
      <c r="A20" s="17"/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237"/>
      <c r="M20" s="236"/>
      <c r="N20" s="32">
        <f t="shared" si="2"/>
        <v>0</v>
      </c>
    </row>
    <row r="21" spans="1:14">
      <c r="A21" s="17"/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237"/>
      <c r="M21" s="236"/>
      <c r="N21" s="32">
        <f t="shared" si="2"/>
        <v>0</v>
      </c>
    </row>
    <row r="22" spans="1:14">
      <c r="A22" s="17"/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237"/>
      <c r="M22" s="236"/>
      <c r="N22" s="32">
        <f t="shared" si="2"/>
        <v>0</v>
      </c>
    </row>
    <row r="23" spans="1:14">
      <c r="A23" s="17"/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237"/>
      <c r="M23" s="236"/>
      <c r="N23" s="32">
        <f t="shared" si="2"/>
        <v>0</v>
      </c>
    </row>
    <row r="24" spans="1:14">
      <c r="A24" s="5" t="s">
        <v>14</v>
      </c>
      <c r="B24" s="229">
        <f t="shared" ref="B24:N24" si="3">SUM(B3:B23)</f>
        <v>14800</v>
      </c>
      <c r="C24" s="229">
        <f t="shared" si="3"/>
        <v>785</v>
      </c>
      <c r="D24" s="229">
        <f t="shared" si="3"/>
        <v>19614</v>
      </c>
      <c r="E24" s="229">
        <f t="shared" si="3"/>
        <v>2770</v>
      </c>
      <c r="F24" s="229">
        <f t="shared" si="3"/>
        <v>0</v>
      </c>
      <c r="G24" s="229">
        <f t="shared" si="3"/>
        <v>0</v>
      </c>
      <c r="H24" s="229">
        <f t="shared" si="3"/>
        <v>0</v>
      </c>
      <c r="I24" s="229">
        <f t="shared" si="3"/>
        <v>0</v>
      </c>
      <c r="J24" s="229">
        <f t="shared" si="3"/>
        <v>0</v>
      </c>
      <c r="K24" s="229">
        <f t="shared" si="3"/>
        <v>0</v>
      </c>
      <c r="L24" s="229">
        <f t="shared" si="3"/>
        <v>0</v>
      </c>
      <c r="M24" s="229">
        <f t="shared" si="3"/>
        <v>0</v>
      </c>
      <c r="N24" s="229">
        <f t="shared" si="3"/>
        <v>37969</v>
      </c>
    </row>
    <row r="26" spans="1:14">
      <c r="N26" s="234">
        <f>SUM(B24:M24)-N24</f>
        <v>0</v>
      </c>
    </row>
  </sheetData>
  <phoneticPr fontId="31" type="noConversion"/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0" tint="-0.499984740745262"/>
    <pageSetUpPr fitToPage="1"/>
  </sheetPr>
  <dimension ref="A1:N9"/>
  <sheetViews>
    <sheetView workbookViewId="0">
      <selection activeCell="E5" sqref="E5"/>
    </sheetView>
  </sheetViews>
  <sheetFormatPr defaultRowHeight="15"/>
  <cols>
    <col min="1" max="1" width="22.28515625" bestFit="1" customWidth="1"/>
    <col min="2" max="2" width="10.7109375" customWidth="1"/>
    <col min="3" max="3" width="8.140625" customWidth="1"/>
    <col min="5" max="5" width="8.140625" customWidth="1"/>
    <col min="6" max="6" width="8.28515625" customWidth="1"/>
    <col min="7" max="7" width="9.42578125" customWidth="1"/>
    <col min="8" max="8" width="10" style="30" customWidth="1"/>
  </cols>
  <sheetData>
    <row r="1" spans="1:14">
      <c r="A1" s="5" t="s">
        <v>23</v>
      </c>
      <c r="B1" s="2"/>
      <c r="C1" s="2"/>
      <c r="D1" s="2"/>
      <c r="E1" s="2"/>
      <c r="F1" s="27"/>
      <c r="G1" s="27" t="str">
        <f ca="1">'ВСЕ затраты в 2020-2021 гг'!C1</f>
        <v>2021-2022гг.</v>
      </c>
      <c r="H1" s="25"/>
      <c r="I1" s="2"/>
      <c r="J1" s="2"/>
      <c r="K1" s="2"/>
      <c r="L1" s="2"/>
      <c r="M1" s="2"/>
      <c r="N1" s="1"/>
    </row>
    <row r="2" spans="1:14">
      <c r="A2" s="1"/>
      <c r="B2" s="8" t="s">
        <v>1</v>
      </c>
      <c r="C2" s="8" t="s">
        <v>2</v>
      </c>
      <c r="D2" s="8" t="s">
        <v>3</v>
      </c>
      <c r="E2" s="7" t="s">
        <v>4</v>
      </c>
      <c r="F2" s="8" t="s">
        <v>5</v>
      </c>
      <c r="G2" s="7" t="s">
        <v>6</v>
      </c>
      <c r="H2" s="22" t="s">
        <v>7</v>
      </c>
      <c r="I2" s="7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8"/>
    </row>
    <row r="3" spans="1:14">
      <c r="A3" s="2"/>
      <c r="B3" s="6"/>
      <c r="C3" s="6"/>
      <c r="D3" s="6"/>
      <c r="E3" s="9"/>
      <c r="F3" s="6"/>
      <c r="G3" s="9"/>
      <c r="H3" s="29"/>
      <c r="I3" s="9"/>
      <c r="J3" s="6"/>
      <c r="K3" s="6"/>
      <c r="L3" s="6"/>
      <c r="M3" s="6"/>
      <c r="N3" s="6"/>
    </row>
    <row r="4" spans="1:14">
      <c r="A4" s="2"/>
      <c r="B4" s="190">
        <v>517121.4</v>
      </c>
      <c r="C4" s="190">
        <v>517121.4</v>
      </c>
      <c r="D4" s="190">
        <v>517121.4</v>
      </c>
      <c r="E4" s="190">
        <v>517121.4</v>
      </c>
      <c r="F4" s="190"/>
      <c r="G4" s="190"/>
      <c r="H4" s="190"/>
      <c r="I4" s="53"/>
      <c r="J4" s="53"/>
      <c r="K4" s="53"/>
      <c r="L4" s="53"/>
      <c r="M4" s="53"/>
      <c r="N4" s="6">
        <f>SUM(B4:M4)</f>
        <v>2068485.6</v>
      </c>
    </row>
    <row r="5" spans="1:14">
      <c r="A5" s="2"/>
      <c r="B5" s="93"/>
      <c r="C5" s="93"/>
      <c r="D5" s="93"/>
      <c r="E5" s="93"/>
      <c r="F5" s="93"/>
      <c r="G5" s="93"/>
      <c r="H5" s="93"/>
      <c r="I5" s="93"/>
      <c r="J5" s="93"/>
      <c r="K5" s="93"/>
      <c r="L5" s="237"/>
      <c r="M5" s="237"/>
      <c r="N5" s="6">
        <f>SUM(B5:M5)</f>
        <v>0</v>
      </c>
    </row>
    <row r="6" spans="1:14">
      <c r="A6" s="1"/>
      <c r="B6" s="190"/>
      <c r="C6" s="190"/>
      <c r="D6" s="190"/>
      <c r="E6" s="190"/>
      <c r="F6" s="190"/>
      <c r="G6" s="190"/>
      <c r="H6" s="93"/>
      <c r="I6" s="190"/>
      <c r="J6" s="190"/>
      <c r="K6" s="190"/>
      <c r="L6" s="196"/>
      <c r="M6" s="196"/>
      <c r="N6" s="6">
        <f>SUM(B6:M6)</f>
        <v>0</v>
      </c>
    </row>
    <row r="7" spans="1:14">
      <c r="A7" s="5" t="s">
        <v>14</v>
      </c>
      <c r="B7" s="225">
        <f t="shared" ref="B7:M7" si="0">SUM(B4:B6)</f>
        <v>517121.4</v>
      </c>
      <c r="C7" s="225">
        <f t="shared" si="0"/>
        <v>517121.4</v>
      </c>
      <c r="D7" s="225">
        <f t="shared" si="0"/>
        <v>517121.4</v>
      </c>
      <c r="E7" s="225">
        <f t="shared" si="0"/>
        <v>517121.4</v>
      </c>
      <c r="F7" s="225">
        <f t="shared" si="0"/>
        <v>0</v>
      </c>
      <c r="G7" s="225">
        <f t="shared" si="0"/>
        <v>0</v>
      </c>
      <c r="H7" s="225">
        <f t="shared" si="0"/>
        <v>0</v>
      </c>
      <c r="I7" s="225">
        <f t="shared" si="0"/>
        <v>0</v>
      </c>
      <c r="J7" s="225">
        <f t="shared" si="0"/>
        <v>0</v>
      </c>
      <c r="K7" s="225">
        <f t="shared" si="0"/>
        <v>0</v>
      </c>
      <c r="L7" s="225">
        <f t="shared" si="0"/>
        <v>0</v>
      </c>
      <c r="M7" s="225">
        <f t="shared" si="0"/>
        <v>0</v>
      </c>
      <c r="N7" s="225">
        <f>SUM(N4:N6)</f>
        <v>2068485.6</v>
      </c>
    </row>
    <row r="9" spans="1:14">
      <c r="C9" t="s">
        <v>104</v>
      </c>
      <c r="N9" s="234">
        <f>SUM(B7:M7)-N7</f>
        <v>0</v>
      </c>
    </row>
  </sheetData>
  <phoneticPr fontId="31" type="noConversion"/>
  <pageMargins left="0.25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2" tint="-0.749992370372631"/>
    <pageSetUpPr fitToPage="1"/>
  </sheetPr>
  <dimension ref="A1:N12"/>
  <sheetViews>
    <sheetView workbookViewId="0">
      <selection activeCell="E6" sqref="E6"/>
    </sheetView>
  </sheetViews>
  <sheetFormatPr defaultRowHeight="15"/>
  <cols>
    <col min="1" max="1" width="38" bestFit="1" customWidth="1"/>
    <col min="2" max="2" width="10.85546875" customWidth="1"/>
    <col min="3" max="3" width="8.5703125" customWidth="1"/>
    <col min="4" max="4" width="9.7109375" customWidth="1"/>
    <col min="6" max="6" width="12.7109375" customWidth="1"/>
    <col min="10" max="10" width="7.42578125" customWidth="1"/>
    <col min="11" max="11" width="7.85546875" customWidth="1"/>
    <col min="12" max="12" width="9.7109375" customWidth="1"/>
  </cols>
  <sheetData>
    <row r="1" spans="1:14">
      <c r="A1" s="14" t="s">
        <v>22</v>
      </c>
      <c r="B1" s="2"/>
      <c r="C1" s="2"/>
      <c r="D1" s="2"/>
      <c r="E1" s="2"/>
      <c r="F1" s="27"/>
      <c r="G1" s="27" t="str">
        <f ca="1">'ВСЕ затраты в 2020-2021 гг'!C1</f>
        <v>2021-2022гг.</v>
      </c>
      <c r="H1" s="2"/>
      <c r="I1" s="2"/>
      <c r="J1" s="2"/>
      <c r="K1" s="2"/>
      <c r="L1" s="2"/>
      <c r="M1" s="2"/>
      <c r="N1" s="1"/>
    </row>
    <row r="2" spans="1:14">
      <c r="A2" s="1"/>
      <c r="B2" s="8" t="s">
        <v>1</v>
      </c>
      <c r="C2" s="8" t="s">
        <v>2</v>
      </c>
      <c r="D2" s="8" t="s">
        <v>3</v>
      </c>
      <c r="E2" s="7" t="s">
        <v>4</v>
      </c>
      <c r="F2" s="22" t="s">
        <v>5</v>
      </c>
      <c r="G2" s="7" t="s">
        <v>6</v>
      </c>
      <c r="H2" s="8" t="s">
        <v>7</v>
      </c>
      <c r="I2" s="7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8"/>
    </row>
    <row r="3" spans="1:14">
      <c r="A3" s="17"/>
      <c r="B3" s="190">
        <v>508500</v>
      </c>
      <c r="C3" s="190">
        <v>481000</v>
      </c>
      <c r="D3" s="190">
        <v>429000</v>
      </c>
      <c r="E3" s="190">
        <v>425000</v>
      </c>
      <c r="F3" s="190"/>
      <c r="G3" s="190"/>
      <c r="H3" s="190"/>
      <c r="I3" s="190"/>
      <c r="J3" s="190"/>
      <c r="K3" s="190"/>
      <c r="L3" s="196"/>
      <c r="M3" s="196"/>
      <c r="N3" s="17">
        <f>SUM(B3:M3)</f>
        <v>1843500</v>
      </c>
    </row>
    <row r="4" spans="1:14">
      <c r="A4" s="17" t="s">
        <v>189</v>
      </c>
      <c r="B4" s="190"/>
      <c r="C4" s="190"/>
      <c r="D4" s="190">
        <v>28000</v>
      </c>
      <c r="E4" s="190">
        <v>28000</v>
      </c>
      <c r="F4" s="190"/>
      <c r="G4" s="190"/>
      <c r="H4" s="190"/>
      <c r="I4" s="190"/>
      <c r="J4" s="190"/>
      <c r="K4" s="190"/>
      <c r="L4" s="196"/>
      <c r="M4" s="196"/>
      <c r="N4" s="17">
        <f t="shared" ref="N4:N9" si="0">SUM(B4:M4)</f>
        <v>56000</v>
      </c>
    </row>
    <row r="5" spans="1:14">
      <c r="A5" s="17"/>
      <c r="B5" s="190"/>
      <c r="C5" s="190"/>
      <c r="D5" s="190"/>
      <c r="E5" s="190">
        <v>25000</v>
      </c>
      <c r="F5" s="190"/>
      <c r="G5" s="190"/>
      <c r="H5" s="190"/>
      <c r="I5" s="190"/>
      <c r="J5" s="190"/>
      <c r="K5" s="190"/>
      <c r="L5" s="196"/>
      <c r="M5" s="196"/>
      <c r="N5" s="17">
        <f t="shared" si="0"/>
        <v>25000</v>
      </c>
    </row>
    <row r="6" spans="1:14">
      <c r="A6" s="190"/>
      <c r="B6" s="190"/>
      <c r="C6" s="190"/>
      <c r="D6" s="190"/>
      <c r="E6" s="190"/>
      <c r="F6" s="190"/>
      <c r="G6" s="190"/>
      <c r="H6" s="190"/>
      <c r="I6" s="190"/>
      <c r="J6" s="190"/>
      <c r="K6" s="190"/>
      <c r="L6" s="196"/>
      <c r="M6" s="196"/>
      <c r="N6" s="17">
        <f t="shared" si="0"/>
        <v>0</v>
      </c>
    </row>
    <row r="7" spans="1:14">
      <c r="A7" s="17"/>
      <c r="B7" s="190"/>
      <c r="C7" s="190"/>
      <c r="D7" s="190"/>
      <c r="E7" s="190"/>
      <c r="F7" s="190"/>
      <c r="G7" s="190"/>
      <c r="H7" s="190"/>
      <c r="I7" s="190"/>
      <c r="J7" s="190"/>
      <c r="K7" s="190"/>
      <c r="L7" s="196"/>
      <c r="M7" s="196"/>
      <c r="N7" s="17">
        <f t="shared" si="0"/>
        <v>0</v>
      </c>
    </row>
    <row r="8" spans="1:14">
      <c r="A8" s="17"/>
      <c r="B8" s="190"/>
      <c r="C8" s="190"/>
      <c r="D8" s="190"/>
      <c r="E8" s="190"/>
      <c r="F8" s="190"/>
      <c r="G8" s="190"/>
      <c r="H8" s="190"/>
      <c r="I8" s="190"/>
      <c r="J8" s="190"/>
      <c r="K8" s="190"/>
      <c r="L8" s="196"/>
      <c r="M8" s="196"/>
      <c r="N8" s="17">
        <f t="shared" si="0"/>
        <v>0</v>
      </c>
    </row>
    <row r="9" spans="1:14">
      <c r="A9" s="17"/>
      <c r="B9" s="190"/>
      <c r="C9" s="190"/>
      <c r="D9" s="190"/>
      <c r="E9" s="190"/>
      <c r="F9" s="190"/>
      <c r="G9" s="190"/>
      <c r="H9" s="190"/>
      <c r="I9" s="190"/>
      <c r="J9" s="190"/>
      <c r="K9" s="190"/>
      <c r="L9" s="196"/>
      <c r="M9" s="196"/>
      <c r="N9" s="17">
        <f t="shared" si="0"/>
        <v>0</v>
      </c>
    </row>
    <row r="10" spans="1:14">
      <c r="A10" s="5" t="s">
        <v>14</v>
      </c>
      <c r="B10" s="225">
        <f t="shared" ref="B10:N10" si="1">SUM(B3:B9)</f>
        <v>508500</v>
      </c>
      <c r="C10" s="225">
        <f t="shared" si="1"/>
        <v>481000</v>
      </c>
      <c r="D10" s="225">
        <f t="shared" si="1"/>
        <v>457000</v>
      </c>
      <c r="E10" s="225">
        <f t="shared" si="1"/>
        <v>478000</v>
      </c>
      <c r="F10" s="225">
        <f t="shared" si="1"/>
        <v>0</v>
      </c>
      <c r="G10" s="225">
        <f t="shared" si="1"/>
        <v>0</v>
      </c>
      <c r="H10" s="225">
        <f t="shared" si="1"/>
        <v>0</v>
      </c>
      <c r="I10" s="225">
        <f t="shared" si="1"/>
        <v>0</v>
      </c>
      <c r="J10" s="225">
        <f t="shared" si="1"/>
        <v>0</v>
      </c>
      <c r="K10" s="225">
        <f t="shared" si="1"/>
        <v>0</v>
      </c>
      <c r="L10" s="225">
        <f t="shared" si="1"/>
        <v>0</v>
      </c>
      <c r="M10" s="225">
        <f t="shared" si="1"/>
        <v>0</v>
      </c>
      <c r="N10" s="225">
        <f t="shared" si="1"/>
        <v>1924500</v>
      </c>
    </row>
    <row r="12" spans="1:14">
      <c r="N12" s="234">
        <f>SUM(B10:M10)-N10</f>
        <v>0</v>
      </c>
    </row>
  </sheetData>
  <phoneticPr fontId="31" type="noConversion"/>
  <pageMargins left="0.25" right="0.25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8" tint="0.79998168889431442"/>
    <pageSetUpPr fitToPage="1"/>
  </sheetPr>
  <dimension ref="A1:R8"/>
  <sheetViews>
    <sheetView workbookViewId="0">
      <selection activeCell="E3" sqref="E3"/>
    </sheetView>
  </sheetViews>
  <sheetFormatPr defaultRowHeight="15"/>
  <cols>
    <col min="1" max="1" width="36.5703125" bestFit="1" customWidth="1"/>
    <col min="3" max="3" width="7.140625" customWidth="1"/>
    <col min="4" max="4" width="7.85546875" customWidth="1"/>
    <col min="5" max="5" width="7.5703125" customWidth="1"/>
    <col min="6" max="6" width="7.7109375" customWidth="1"/>
    <col min="16" max="16" width="10.42578125" bestFit="1" customWidth="1"/>
  </cols>
  <sheetData>
    <row r="1" spans="1:18">
      <c r="A1" s="14" t="s">
        <v>24</v>
      </c>
      <c r="B1" s="2"/>
      <c r="C1" s="2"/>
      <c r="D1" s="2"/>
      <c r="E1" s="2"/>
      <c r="F1" s="27"/>
      <c r="G1" s="27" t="str">
        <f ca="1">'ВСЕ затраты в 2020-2021 гг'!C1</f>
        <v>2021-2022гг.</v>
      </c>
      <c r="H1" s="2"/>
      <c r="I1" s="2">
        <v>20697.669999999998</v>
      </c>
      <c r="J1" s="2"/>
      <c r="K1" s="2"/>
      <c r="L1" s="2"/>
      <c r="M1" s="2"/>
      <c r="N1" s="1"/>
    </row>
    <row r="2" spans="1:18">
      <c r="A2" s="1"/>
      <c r="B2" s="8" t="s">
        <v>1</v>
      </c>
      <c r="C2" s="8" t="s">
        <v>2</v>
      </c>
      <c r="D2" s="8" t="s">
        <v>3</v>
      </c>
      <c r="E2" s="7" t="s">
        <v>4</v>
      </c>
      <c r="F2" s="8" t="s">
        <v>5</v>
      </c>
      <c r="G2" s="7" t="s">
        <v>6</v>
      </c>
      <c r="H2" s="8" t="s">
        <v>7</v>
      </c>
      <c r="I2" s="7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8"/>
      <c r="P2" s="333">
        <v>110000</v>
      </c>
      <c r="Q2" t="s">
        <v>3</v>
      </c>
      <c r="R2" t="s">
        <v>212</v>
      </c>
    </row>
    <row r="3" spans="1:18">
      <c r="A3" s="17"/>
      <c r="B3" s="17">
        <v>20697.669999999998</v>
      </c>
      <c r="C3" s="17">
        <v>20697.669999999998</v>
      </c>
      <c r="D3" s="17">
        <v>20697.669999999998</v>
      </c>
      <c r="E3" s="17">
        <v>20697.669999999998</v>
      </c>
      <c r="F3" s="17"/>
      <c r="G3" s="17"/>
      <c r="H3" s="17"/>
      <c r="I3" s="17"/>
      <c r="J3" s="17"/>
      <c r="K3" s="17"/>
      <c r="L3" s="17"/>
      <c r="M3" s="17"/>
      <c r="N3" s="17">
        <f>SUM(B3:M3)</f>
        <v>82790.679999999993</v>
      </c>
      <c r="P3" s="333">
        <v>19000</v>
      </c>
      <c r="Q3" t="s">
        <v>3</v>
      </c>
      <c r="R3" t="s">
        <v>213</v>
      </c>
    </row>
    <row r="4" spans="1:18">
      <c r="A4" s="17"/>
      <c r="B4" s="93"/>
      <c r="C4" s="190"/>
      <c r="D4" s="190"/>
      <c r="E4" s="93"/>
      <c r="F4" s="190"/>
      <c r="G4" s="190"/>
      <c r="H4" s="93"/>
      <c r="I4" s="190"/>
      <c r="J4" s="190"/>
      <c r="K4" s="190"/>
      <c r="L4" s="190"/>
      <c r="M4" s="190"/>
      <c r="N4" s="17">
        <f>SUM(B4:M4)</f>
        <v>0</v>
      </c>
    </row>
    <row r="5" spans="1:18">
      <c r="A5" s="17"/>
      <c r="B5" s="17"/>
      <c r="C5" s="17"/>
      <c r="D5" s="17"/>
      <c r="E5" s="190"/>
      <c r="F5" s="190"/>
      <c r="G5" s="190"/>
      <c r="H5" s="190"/>
      <c r="I5" s="17"/>
      <c r="J5" s="17"/>
      <c r="K5" s="17"/>
      <c r="L5" s="18"/>
      <c r="M5" s="18"/>
      <c r="N5" s="17">
        <f>SUM(B5:M5)</f>
        <v>0</v>
      </c>
    </row>
    <row r="6" spans="1:18">
      <c r="A6" s="5" t="s">
        <v>14</v>
      </c>
      <c r="B6" s="224">
        <f>SUM(B3:B5)</f>
        <v>20697.669999999998</v>
      </c>
      <c r="C6" s="224">
        <f t="shared" ref="C6:N6" si="0">SUM(C3:C5)</f>
        <v>20697.669999999998</v>
      </c>
      <c r="D6" s="224">
        <f t="shared" si="0"/>
        <v>20697.669999999998</v>
      </c>
      <c r="E6" s="224">
        <f t="shared" si="0"/>
        <v>20697.669999999998</v>
      </c>
      <c r="F6" s="224">
        <f t="shared" si="0"/>
        <v>0</v>
      </c>
      <c r="G6" s="224">
        <f t="shared" si="0"/>
        <v>0</v>
      </c>
      <c r="H6" s="224">
        <f t="shared" si="0"/>
        <v>0</v>
      </c>
      <c r="I6" s="224">
        <f t="shared" si="0"/>
        <v>0</v>
      </c>
      <c r="J6" s="224">
        <f t="shared" si="0"/>
        <v>0</v>
      </c>
      <c r="K6" s="224">
        <f t="shared" si="0"/>
        <v>0</v>
      </c>
      <c r="L6" s="224">
        <f t="shared" si="0"/>
        <v>0</v>
      </c>
      <c r="M6" s="224">
        <f t="shared" si="0"/>
        <v>0</v>
      </c>
      <c r="N6" s="224">
        <f t="shared" si="0"/>
        <v>82790.679999999993</v>
      </c>
    </row>
    <row r="8" spans="1:18">
      <c r="N8" s="234">
        <f>SUM(B6:M6)-N6</f>
        <v>0</v>
      </c>
    </row>
  </sheetData>
  <phoneticPr fontId="31" type="noConversion"/>
  <pageMargins left="0.25" right="0.25" top="0.75" bottom="0.75" header="0.3" footer="0.3"/>
  <pageSetup paperSize="9" scale="9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3" tint="0.59999389629810485"/>
    <pageSetUpPr fitToPage="1"/>
  </sheetPr>
  <dimension ref="A1:N35"/>
  <sheetViews>
    <sheetView workbookViewId="0">
      <selection activeCell="A13" sqref="A13:E15"/>
    </sheetView>
  </sheetViews>
  <sheetFormatPr defaultRowHeight="15"/>
  <cols>
    <col min="1" max="1" width="35.140625" bestFit="1" customWidth="1"/>
    <col min="2" max="2" width="11.28515625" style="30" customWidth="1"/>
    <col min="3" max="3" width="11.140625" customWidth="1"/>
    <col min="4" max="4" width="9" customWidth="1"/>
    <col min="5" max="5" width="9.140625" style="30"/>
    <col min="6" max="6" width="9.7109375" customWidth="1"/>
  </cols>
  <sheetData>
    <row r="1" spans="1:14">
      <c r="A1" s="14" t="s">
        <v>25</v>
      </c>
      <c r="B1" s="25"/>
      <c r="C1" s="2"/>
      <c r="D1" s="2"/>
      <c r="E1" s="25"/>
      <c r="F1" s="27"/>
      <c r="G1" s="27" t="str">
        <f ca="1">'ВСЕ затраты в 2020-2021 гг'!C1</f>
        <v>2021-2022гг.</v>
      </c>
      <c r="H1" s="2"/>
      <c r="I1" s="2"/>
      <c r="J1" s="2"/>
      <c r="K1" s="2"/>
      <c r="L1" s="2"/>
      <c r="M1" s="2"/>
      <c r="N1" s="1"/>
    </row>
    <row r="2" spans="1:14">
      <c r="A2" s="17"/>
      <c r="B2" s="22" t="s">
        <v>1</v>
      </c>
      <c r="C2" s="22" t="s">
        <v>2</v>
      </c>
      <c r="D2" s="22" t="s">
        <v>3</v>
      </c>
      <c r="E2" s="23" t="s">
        <v>4</v>
      </c>
      <c r="F2" s="22" t="s">
        <v>5</v>
      </c>
      <c r="G2" s="23" t="s">
        <v>6</v>
      </c>
      <c r="H2" s="22" t="s">
        <v>7</v>
      </c>
      <c r="I2" s="23" t="s">
        <v>8</v>
      </c>
      <c r="J2" s="22" t="s">
        <v>9</v>
      </c>
      <c r="K2" s="22" t="s">
        <v>10</v>
      </c>
      <c r="L2" s="22" t="s">
        <v>11</v>
      </c>
      <c r="M2" s="22" t="s">
        <v>12</v>
      </c>
      <c r="N2" s="22" t="s">
        <v>14</v>
      </c>
    </row>
    <row r="3" spans="1:14">
      <c r="A3" s="222" t="s">
        <v>145</v>
      </c>
      <c r="B3" s="242">
        <v>3750</v>
      </c>
      <c r="C3" s="242"/>
      <c r="D3" s="242"/>
      <c r="E3" s="243"/>
      <c r="F3" s="242"/>
      <c r="G3" s="243"/>
      <c r="H3" s="242"/>
      <c r="I3" s="243"/>
      <c r="J3" s="242"/>
      <c r="K3" s="242"/>
      <c r="L3" s="242"/>
      <c r="M3" s="242"/>
      <c r="N3" s="17">
        <f t="shared" ref="N3:N15" si="0">SUM(B3:M3)</f>
        <v>3750</v>
      </c>
    </row>
    <row r="4" spans="1:14">
      <c r="A4" s="17" t="s">
        <v>146</v>
      </c>
      <c r="B4" s="242">
        <v>8600</v>
      </c>
      <c r="C4" s="242"/>
      <c r="D4" s="242"/>
      <c r="E4" s="243"/>
      <c r="F4" s="242"/>
      <c r="G4" s="243"/>
      <c r="H4" s="242"/>
      <c r="I4" s="243"/>
      <c r="J4" s="242"/>
      <c r="K4" s="242"/>
      <c r="L4" s="242"/>
      <c r="M4" s="242"/>
      <c r="N4" s="17">
        <f t="shared" si="0"/>
        <v>8600</v>
      </c>
    </row>
    <row r="5" spans="1:14">
      <c r="A5" s="17" t="s">
        <v>162</v>
      </c>
      <c r="B5" s="242"/>
      <c r="C5" s="242">
        <v>25687</v>
      </c>
      <c r="D5" s="242"/>
      <c r="E5" s="243"/>
      <c r="F5" s="242"/>
      <c r="G5" s="243"/>
      <c r="H5" s="242"/>
      <c r="I5" s="243"/>
      <c r="J5" s="242"/>
      <c r="K5" s="242"/>
      <c r="L5" s="242"/>
      <c r="M5" s="242"/>
      <c r="N5" s="17">
        <f t="shared" si="0"/>
        <v>25687</v>
      </c>
    </row>
    <row r="6" spans="1:14">
      <c r="A6" s="219" t="s">
        <v>183</v>
      </c>
      <c r="B6" s="242"/>
      <c r="C6" s="242">
        <v>4530</v>
      </c>
      <c r="D6" s="190">
        <v>2775</v>
      </c>
      <c r="E6" s="93"/>
      <c r="F6" s="190"/>
      <c r="G6" s="190"/>
      <c r="H6" s="190"/>
      <c r="I6" s="190"/>
      <c r="J6" s="190"/>
      <c r="K6" s="190"/>
      <c r="L6" s="196"/>
      <c r="M6" s="196"/>
      <c r="N6" s="17">
        <f t="shared" si="0"/>
        <v>7305</v>
      </c>
    </row>
    <row r="7" spans="1:14">
      <c r="A7" s="220" t="s">
        <v>184</v>
      </c>
      <c r="B7" s="242"/>
      <c r="C7" s="242">
        <v>390</v>
      </c>
      <c r="D7" s="190"/>
      <c r="E7" s="93"/>
      <c r="F7" s="190"/>
      <c r="G7" s="190"/>
      <c r="H7" s="190"/>
      <c r="I7" s="190"/>
      <c r="J7" s="190"/>
      <c r="K7" s="190"/>
      <c r="L7" s="196"/>
      <c r="M7" s="196"/>
      <c r="N7" s="17">
        <f t="shared" si="0"/>
        <v>390</v>
      </c>
    </row>
    <row r="8" spans="1:14">
      <c r="A8" s="17" t="s">
        <v>185</v>
      </c>
      <c r="B8" s="190"/>
      <c r="C8" s="242">
        <v>2800</v>
      </c>
      <c r="D8" s="190"/>
      <c r="E8" s="93"/>
      <c r="F8" s="190"/>
      <c r="G8" s="190"/>
      <c r="H8" s="190"/>
      <c r="I8" s="190"/>
      <c r="J8" s="190"/>
      <c r="K8" s="190"/>
      <c r="L8" s="196"/>
      <c r="M8" s="190"/>
      <c r="N8" s="17">
        <f t="shared" si="0"/>
        <v>2800</v>
      </c>
    </row>
    <row r="9" spans="1:14">
      <c r="A9" s="332" t="s">
        <v>193</v>
      </c>
      <c r="B9" s="242"/>
      <c r="C9" s="242"/>
      <c r="D9" s="190">
        <v>474</v>
      </c>
      <c r="E9" s="93"/>
      <c r="F9" s="190"/>
      <c r="G9" s="190"/>
      <c r="H9" s="190"/>
      <c r="I9" s="196"/>
      <c r="J9" s="190"/>
      <c r="K9" s="190"/>
      <c r="L9" s="196"/>
      <c r="M9" s="196"/>
      <c r="N9" s="17">
        <f t="shared" si="0"/>
        <v>474</v>
      </c>
    </row>
    <row r="10" spans="1:14">
      <c r="A10" s="221" t="s">
        <v>194</v>
      </c>
      <c r="B10" s="242"/>
      <c r="C10" s="242"/>
      <c r="D10" s="190">
        <v>2139.6999999999998</v>
      </c>
      <c r="E10" s="93"/>
      <c r="F10" s="190"/>
      <c r="G10" s="190"/>
      <c r="H10" s="190"/>
      <c r="I10" s="190"/>
      <c r="J10" s="190"/>
      <c r="K10" s="190"/>
      <c r="L10" s="196"/>
      <c r="M10" s="196"/>
      <c r="N10" s="17">
        <f t="shared" si="0"/>
        <v>2139.6999999999998</v>
      </c>
    </row>
    <row r="11" spans="1:14">
      <c r="A11" s="221" t="s">
        <v>204</v>
      </c>
      <c r="B11" s="242"/>
      <c r="C11" s="242"/>
      <c r="D11" s="190">
        <v>2200</v>
      </c>
      <c r="E11" s="93"/>
      <c r="F11" s="190"/>
      <c r="G11" s="190"/>
      <c r="H11" s="190"/>
      <c r="I11" s="190"/>
      <c r="J11" s="190"/>
      <c r="K11" s="190"/>
      <c r="L11" s="196"/>
      <c r="M11" s="196"/>
      <c r="N11" s="17">
        <f t="shared" si="0"/>
        <v>2200</v>
      </c>
    </row>
    <row r="12" spans="1:14">
      <c r="A12" s="221" t="s">
        <v>205</v>
      </c>
      <c r="B12" s="242"/>
      <c r="C12" s="242"/>
      <c r="D12" s="190">
        <v>4082</v>
      </c>
      <c r="E12" s="93"/>
      <c r="F12" s="93"/>
      <c r="G12" s="190"/>
      <c r="H12" s="190"/>
      <c r="I12" s="190"/>
      <c r="J12" s="190"/>
      <c r="K12" s="190"/>
      <c r="L12" s="196"/>
      <c r="M12" s="196"/>
      <c r="N12" s="17">
        <f t="shared" si="0"/>
        <v>4082</v>
      </c>
    </row>
    <row r="13" spans="1:14">
      <c r="A13" s="2" t="s">
        <v>229</v>
      </c>
      <c r="B13" s="88"/>
      <c r="C13" s="88"/>
      <c r="D13" s="88"/>
      <c r="E13" s="180">
        <v>3550</v>
      </c>
      <c r="F13" s="190"/>
      <c r="G13" s="190"/>
      <c r="H13" s="190"/>
      <c r="I13" s="190"/>
      <c r="J13" s="190"/>
      <c r="K13" s="190"/>
      <c r="L13" s="196"/>
      <c r="M13" s="196"/>
      <c r="N13" s="17">
        <f t="shared" si="0"/>
        <v>3550</v>
      </c>
    </row>
    <row r="14" spans="1:14">
      <c r="A14" s="204" t="s">
        <v>230</v>
      </c>
      <c r="B14" s="88"/>
      <c r="C14" s="88"/>
      <c r="D14" s="88"/>
      <c r="E14" s="180">
        <v>1615</v>
      </c>
      <c r="F14" s="190"/>
      <c r="G14" s="190"/>
      <c r="H14" s="190"/>
      <c r="I14" s="190"/>
      <c r="J14" s="190"/>
      <c r="K14" s="190"/>
      <c r="L14" s="196"/>
      <c r="M14" s="196"/>
      <c r="N14" s="17">
        <f t="shared" si="0"/>
        <v>1615</v>
      </c>
    </row>
    <row r="15" spans="1:14">
      <c r="A15" s="3" t="s">
        <v>231</v>
      </c>
      <c r="B15" s="190"/>
      <c r="C15" s="190"/>
      <c r="D15" s="190"/>
      <c r="E15" s="191">
        <v>1975</v>
      </c>
      <c r="F15" s="190"/>
      <c r="G15" s="190"/>
      <c r="H15" s="190"/>
      <c r="I15" s="190"/>
      <c r="J15" s="190"/>
      <c r="K15" s="190"/>
      <c r="L15" s="196"/>
      <c r="M15" s="196"/>
      <c r="N15" s="17">
        <f t="shared" si="0"/>
        <v>1975</v>
      </c>
    </row>
    <row r="16" spans="1:14">
      <c r="A16" s="17"/>
      <c r="B16" s="93"/>
      <c r="C16" s="190"/>
      <c r="D16" s="190"/>
      <c r="E16" s="93"/>
      <c r="F16" s="190"/>
      <c r="G16" s="190"/>
      <c r="H16" s="190"/>
      <c r="I16" s="190"/>
      <c r="J16" s="190"/>
      <c r="K16" s="190"/>
      <c r="L16" s="196"/>
      <c r="M16" s="196"/>
      <c r="N16" s="17">
        <f t="shared" ref="N16:N31" si="1">SUM(B16:M16)</f>
        <v>0</v>
      </c>
    </row>
    <row r="17" spans="1:14">
      <c r="A17" s="17"/>
      <c r="B17" s="93"/>
      <c r="C17" s="190"/>
      <c r="D17" s="190"/>
      <c r="E17" s="93"/>
      <c r="F17" s="190"/>
      <c r="G17" s="190"/>
      <c r="H17" s="190"/>
      <c r="I17" s="190"/>
      <c r="J17" s="190"/>
      <c r="K17" s="190"/>
      <c r="L17" s="196"/>
      <c r="M17" s="190"/>
      <c r="N17" s="17">
        <f t="shared" si="1"/>
        <v>0</v>
      </c>
    </row>
    <row r="18" spans="1:14">
      <c r="A18" s="17"/>
      <c r="B18" s="93"/>
      <c r="C18" s="190"/>
      <c r="D18" s="190"/>
      <c r="E18" s="93"/>
      <c r="F18" s="190"/>
      <c r="G18" s="190"/>
      <c r="H18" s="190"/>
      <c r="I18" s="190"/>
      <c r="J18" s="190"/>
      <c r="K18" s="190"/>
      <c r="L18" s="196"/>
      <c r="M18" s="190"/>
      <c r="N18" s="17">
        <f t="shared" si="1"/>
        <v>0</v>
      </c>
    </row>
    <row r="19" spans="1:14">
      <c r="A19" s="17"/>
      <c r="B19" s="93"/>
      <c r="C19" s="190"/>
      <c r="D19" s="190"/>
      <c r="E19" s="93"/>
      <c r="F19" s="190"/>
      <c r="G19" s="190"/>
      <c r="H19" s="190"/>
      <c r="I19" s="190"/>
      <c r="J19" s="190"/>
      <c r="K19" s="190"/>
      <c r="L19" s="196"/>
      <c r="M19" s="190"/>
      <c r="N19" s="17">
        <f>SUM(B19:M19)</f>
        <v>0</v>
      </c>
    </row>
    <row r="20" spans="1:14">
      <c r="A20" s="17"/>
      <c r="B20" s="93"/>
      <c r="C20" s="190"/>
      <c r="D20" s="190"/>
      <c r="E20" s="93"/>
      <c r="F20" s="190"/>
      <c r="G20" s="190"/>
      <c r="H20" s="190"/>
      <c r="I20" s="190"/>
      <c r="J20" s="190"/>
      <c r="K20" s="190"/>
      <c r="L20" s="196"/>
      <c r="M20" s="190"/>
      <c r="N20" s="17">
        <f>SUM(B20:M20)</f>
        <v>0</v>
      </c>
    </row>
    <row r="21" spans="1:14">
      <c r="A21" s="17"/>
      <c r="B21" s="93"/>
      <c r="C21" s="190"/>
      <c r="D21" s="190"/>
      <c r="E21" s="93"/>
      <c r="F21" s="190"/>
      <c r="G21" s="190"/>
      <c r="H21" s="190"/>
      <c r="I21" s="190"/>
      <c r="J21" s="190"/>
      <c r="K21" s="190"/>
      <c r="L21" s="196"/>
      <c r="M21" s="190"/>
      <c r="N21" s="17">
        <f>SUM(B21:M21)</f>
        <v>0</v>
      </c>
    </row>
    <row r="22" spans="1:14">
      <c r="A22" s="17"/>
      <c r="B22" s="93"/>
      <c r="C22" s="190"/>
      <c r="D22" s="190"/>
      <c r="E22" s="93"/>
      <c r="F22" s="190"/>
      <c r="G22" s="190"/>
      <c r="H22" s="190"/>
      <c r="I22" s="190"/>
      <c r="J22" s="190"/>
      <c r="K22" s="190"/>
      <c r="L22" s="196"/>
      <c r="M22" s="190"/>
      <c r="N22" s="17">
        <f>SUM(B22:M22)</f>
        <v>0</v>
      </c>
    </row>
    <row r="23" spans="1:14">
      <c r="A23" s="17"/>
      <c r="B23" s="93"/>
      <c r="C23" s="190"/>
      <c r="D23" s="190"/>
      <c r="E23" s="93"/>
      <c r="F23" s="190"/>
      <c r="G23" s="190"/>
      <c r="H23" s="190"/>
      <c r="I23" s="190"/>
      <c r="J23" s="190"/>
      <c r="K23" s="190"/>
      <c r="L23" s="196"/>
      <c r="M23" s="190"/>
      <c r="N23" s="17">
        <f t="shared" si="1"/>
        <v>0</v>
      </c>
    </row>
    <row r="24" spans="1:14">
      <c r="A24" s="17"/>
      <c r="B24" s="93"/>
      <c r="C24" s="190"/>
      <c r="D24" s="190"/>
      <c r="E24" s="93"/>
      <c r="F24" s="190"/>
      <c r="G24" s="190"/>
      <c r="H24" s="190"/>
      <c r="I24" s="190"/>
      <c r="J24" s="190"/>
      <c r="K24" s="190"/>
      <c r="L24" s="196"/>
      <c r="M24" s="190"/>
      <c r="N24" s="17">
        <f t="shared" si="1"/>
        <v>0</v>
      </c>
    </row>
    <row r="25" spans="1:14">
      <c r="A25" s="17"/>
      <c r="B25" s="93"/>
      <c r="C25" s="190"/>
      <c r="D25" s="190"/>
      <c r="E25" s="93"/>
      <c r="F25" s="190"/>
      <c r="G25" s="190"/>
      <c r="H25" s="190"/>
      <c r="I25" s="190"/>
      <c r="J25" s="190"/>
      <c r="K25" s="190"/>
      <c r="L25" s="196"/>
      <c r="M25" s="190"/>
      <c r="N25" s="17">
        <f t="shared" si="1"/>
        <v>0</v>
      </c>
    </row>
    <row r="26" spans="1:14">
      <c r="A26" s="17"/>
      <c r="B26" s="93"/>
      <c r="C26" s="190"/>
      <c r="D26" s="190"/>
      <c r="E26" s="93"/>
      <c r="F26" s="190"/>
      <c r="G26" s="190"/>
      <c r="H26" s="190"/>
      <c r="I26" s="190"/>
      <c r="J26" s="190"/>
      <c r="K26" s="190"/>
      <c r="L26" s="196"/>
      <c r="M26" s="190"/>
      <c r="N26" s="17">
        <f t="shared" si="1"/>
        <v>0</v>
      </c>
    </row>
    <row r="27" spans="1:14">
      <c r="A27" s="17"/>
      <c r="B27" s="93"/>
      <c r="C27" s="190"/>
      <c r="D27" s="190"/>
      <c r="E27" s="93"/>
      <c r="F27" s="190"/>
      <c r="G27" s="190"/>
      <c r="H27" s="190"/>
      <c r="I27" s="190"/>
      <c r="J27" s="190"/>
      <c r="K27" s="190"/>
      <c r="L27" s="196"/>
      <c r="M27" s="190"/>
      <c r="N27" s="17">
        <f t="shared" si="1"/>
        <v>0</v>
      </c>
    </row>
    <row r="28" spans="1:14">
      <c r="A28" s="313"/>
      <c r="B28" s="190"/>
      <c r="C28" s="93"/>
      <c r="D28" s="190"/>
      <c r="E28" s="190"/>
      <c r="F28" s="93"/>
      <c r="G28" s="93"/>
      <c r="H28" s="190"/>
      <c r="I28" s="190"/>
      <c r="J28" s="190"/>
      <c r="K28" s="190"/>
      <c r="L28" s="196"/>
      <c r="M28" s="196"/>
      <c r="N28" s="17">
        <f>SUM(B28:M28)</f>
        <v>0</v>
      </c>
    </row>
    <row r="29" spans="1:14">
      <c r="A29" s="17"/>
      <c r="B29" s="93"/>
      <c r="C29" s="190"/>
      <c r="D29" s="190"/>
      <c r="E29" s="93"/>
      <c r="F29" s="190"/>
      <c r="G29" s="190"/>
      <c r="H29" s="190"/>
      <c r="I29" s="190"/>
      <c r="J29" s="190"/>
      <c r="K29" s="190"/>
      <c r="L29" s="196"/>
      <c r="M29" s="190"/>
      <c r="N29" s="17">
        <f t="shared" si="1"/>
        <v>0</v>
      </c>
    </row>
    <row r="30" spans="1:14">
      <c r="A30" s="17"/>
      <c r="B30" s="93"/>
      <c r="C30" s="190"/>
      <c r="D30" s="190"/>
      <c r="E30" s="93"/>
      <c r="F30" s="190"/>
      <c r="G30" s="190"/>
      <c r="H30" s="190"/>
      <c r="I30" s="190"/>
      <c r="J30" s="190"/>
      <c r="K30" s="190"/>
      <c r="L30" s="196"/>
      <c r="M30" s="190"/>
      <c r="N30" s="17">
        <f t="shared" si="1"/>
        <v>0</v>
      </c>
    </row>
    <row r="31" spans="1:14">
      <c r="A31" s="17"/>
      <c r="B31" s="93"/>
      <c r="C31" s="190"/>
      <c r="D31" s="190"/>
      <c r="E31" s="93"/>
      <c r="F31" s="190"/>
      <c r="G31" s="190"/>
      <c r="H31" s="190"/>
      <c r="I31" s="190"/>
      <c r="J31" s="190"/>
      <c r="K31" s="190"/>
      <c r="L31" s="196"/>
      <c r="M31" s="190"/>
      <c r="N31" s="17">
        <f t="shared" si="1"/>
        <v>0</v>
      </c>
    </row>
    <row r="32" spans="1:14">
      <c r="A32" s="17"/>
      <c r="B32" s="93"/>
      <c r="C32" s="190"/>
      <c r="D32" s="190"/>
      <c r="E32" s="93"/>
      <c r="F32" s="190"/>
      <c r="G32" s="190"/>
      <c r="H32" s="190"/>
      <c r="I32" s="190"/>
      <c r="J32" s="190"/>
      <c r="K32" s="190"/>
      <c r="L32" s="196"/>
      <c r="M32" s="190"/>
      <c r="N32" s="17">
        <f>SUM(B32:M32)</f>
        <v>0</v>
      </c>
    </row>
    <row r="33" spans="1:14">
      <c r="A33" s="5" t="s">
        <v>14</v>
      </c>
      <c r="B33" s="224">
        <f t="shared" ref="B33:N33" si="2">SUM(B3:B32)</f>
        <v>12350</v>
      </c>
      <c r="C33" s="224">
        <f t="shared" si="2"/>
        <v>33407</v>
      </c>
      <c r="D33" s="224">
        <f t="shared" si="2"/>
        <v>11670.7</v>
      </c>
      <c r="E33" s="224">
        <f t="shared" si="2"/>
        <v>7140</v>
      </c>
      <c r="F33" s="224">
        <f t="shared" si="2"/>
        <v>0</v>
      </c>
      <c r="G33" s="224">
        <f t="shared" si="2"/>
        <v>0</v>
      </c>
      <c r="H33" s="224">
        <f t="shared" si="2"/>
        <v>0</v>
      </c>
      <c r="I33" s="224">
        <f t="shared" si="2"/>
        <v>0</v>
      </c>
      <c r="J33" s="224">
        <f t="shared" si="2"/>
        <v>0</v>
      </c>
      <c r="K33" s="224">
        <f t="shared" si="2"/>
        <v>0</v>
      </c>
      <c r="L33" s="224">
        <f t="shared" si="2"/>
        <v>0</v>
      </c>
      <c r="M33" s="224">
        <f t="shared" si="2"/>
        <v>0</v>
      </c>
      <c r="N33" s="224">
        <f t="shared" si="2"/>
        <v>64567.7</v>
      </c>
    </row>
    <row r="35" spans="1:14">
      <c r="N35" s="234">
        <f>SUM(B33:M33)-N33</f>
        <v>0</v>
      </c>
    </row>
  </sheetData>
  <phoneticPr fontId="31" type="noConversion"/>
  <pageMargins left="0.25" right="0.25" top="0.75" bottom="0.75" header="0.3" footer="0.3"/>
  <pageSetup paperSize="9" scale="8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2" tint="-0.499984740745262"/>
    <pageSetUpPr fitToPage="1"/>
  </sheetPr>
  <dimension ref="A1:N26"/>
  <sheetViews>
    <sheetView workbookViewId="0">
      <selection activeCell="A24" sqref="A24"/>
    </sheetView>
  </sheetViews>
  <sheetFormatPr defaultRowHeight="15"/>
  <cols>
    <col min="1" max="1" width="38.7109375" bestFit="1" customWidth="1"/>
    <col min="2" max="2" width="7.5703125" bestFit="1" customWidth="1"/>
    <col min="3" max="3" width="9" style="30" bestFit="1" customWidth="1"/>
    <col min="4" max="4" width="6.5703125" bestFit="1" customWidth="1"/>
    <col min="5" max="5" width="8.7109375" bestFit="1" customWidth="1"/>
    <col min="6" max="6" width="11.5703125" style="30" bestFit="1" customWidth="1"/>
    <col min="7" max="7" width="7" style="30" bestFit="1" customWidth="1"/>
    <col min="8" max="8" width="9" bestFit="1" customWidth="1"/>
    <col min="9" max="9" width="7" bestFit="1" customWidth="1"/>
    <col min="10" max="10" width="8.28515625" bestFit="1" customWidth="1"/>
    <col min="11" max="11" width="6.5703125" bestFit="1" customWidth="1"/>
    <col min="12" max="12" width="7.5703125" bestFit="1" customWidth="1"/>
    <col min="13" max="13" width="6.5703125" bestFit="1" customWidth="1"/>
    <col min="14" max="14" width="9" bestFit="1" customWidth="1"/>
  </cols>
  <sheetData>
    <row r="1" spans="1:14">
      <c r="A1" s="14" t="s">
        <v>26</v>
      </c>
      <c r="B1" s="2"/>
      <c r="C1" s="25"/>
      <c r="D1" s="2"/>
      <c r="E1" s="2"/>
      <c r="F1" s="27"/>
      <c r="G1" s="27" t="str">
        <f ca="1">'ВСЕ затраты в 2020-2021 гг'!C1</f>
        <v>2021-2022гг.</v>
      </c>
      <c r="H1" s="2"/>
      <c r="I1" s="2"/>
      <c r="J1" s="2"/>
      <c r="K1" s="2"/>
      <c r="L1" s="2"/>
      <c r="M1" s="2"/>
      <c r="N1" s="1"/>
    </row>
    <row r="2" spans="1:14">
      <c r="A2" s="1"/>
      <c r="B2" s="22" t="s">
        <v>1</v>
      </c>
      <c r="C2" s="22" t="s">
        <v>2</v>
      </c>
      <c r="D2" s="22" t="s">
        <v>3</v>
      </c>
      <c r="E2" s="23" t="s">
        <v>4</v>
      </c>
      <c r="F2" s="22" t="s">
        <v>5</v>
      </c>
      <c r="G2" s="23" t="s">
        <v>6</v>
      </c>
      <c r="H2" s="22" t="s">
        <v>7</v>
      </c>
      <c r="I2" s="23" t="s">
        <v>8</v>
      </c>
      <c r="J2" s="22" t="s">
        <v>9</v>
      </c>
      <c r="K2" s="22" t="s">
        <v>10</v>
      </c>
      <c r="L2" s="22" t="s">
        <v>11</v>
      </c>
      <c r="M2" s="22" t="s">
        <v>12</v>
      </c>
      <c r="N2" s="22" t="s">
        <v>14</v>
      </c>
    </row>
    <row r="3" spans="1:14">
      <c r="A3" s="206" t="s">
        <v>126</v>
      </c>
      <c r="B3" s="190">
        <v>16300</v>
      </c>
      <c r="C3" s="93">
        <f>16300</f>
        <v>16300</v>
      </c>
      <c r="D3" s="190">
        <v>16300</v>
      </c>
      <c r="E3" s="190">
        <v>16300</v>
      </c>
      <c r="F3" s="93"/>
      <c r="G3" s="93"/>
      <c r="H3" s="190"/>
      <c r="I3" s="190"/>
      <c r="J3" s="190"/>
      <c r="K3" s="190"/>
      <c r="L3" s="196"/>
      <c r="M3" s="196"/>
      <c r="N3" s="17">
        <f t="shared" ref="N3:N15" si="0">SUM(B3:M3)</f>
        <v>65200</v>
      </c>
    </row>
    <row r="4" spans="1:14">
      <c r="A4" s="252" t="s">
        <v>144</v>
      </c>
      <c r="B4" s="56">
        <v>30</v>
      </c>
      <c r="C4" s="240"/>
      <c r="D4" s="56"/>
      <c r="E4" s="250" t="s">
        <v>109</v>
      </c>
      <c r="F4" s="240"/>
      <c r="G4" s="240"/>
      <c r="H4" s="56"/>
      <c r="I4" s="56"/>
      <c r="J4" s="56"/>
      <c r="K4" s="56"/>
      <c r="L4" s="56"/>
      <c r="M4" s="190"/>
      <c r="N4" s="17">
        <f t="shared" si="0"/>
        <v>30</v>
      </c>
    </row>
    <row r="5" spans="1:14">
      <c r="A5" s="223" t="s">
        <v>167</v>
      </c>
      <c r="B5" s="190"/>
      <c r="C5" s="93">
        <v>724</v>
      </c>
      <c r="D5" s="190"/>
      <c r="E5" s="190"/>
      <c r="F5" s="93"/>
      <c r="G5" s="93"/>
      <c r="H5" s="190"/>
      <c r="I5" s="190"/>
      <c r="J5" s="190"/>
      <c r="K5" s="190"/>
      <c r="L5" s="196"/>
      <c r="M5" s="196"/>
      <c r="N5" s="17">
        <f t="shared" si="0"/>
        <v>724</v>
      </c>
    </row>
    <row r="6" spans="1:14">
      <c r="A6" s="252" t="s">
        <v>168</v>
      </c>
      <c r="B6" s="190"/>
      <c r="C6" s="93">
        <v>945</v>
      </c>
      <c r="D6" s="190"/>
      <c r="E6" s="190"/>
      <c r="F6" s="93"/>
      <c r="G6" s="93"/>
      <c r="H6" s="190"/>
      <c r="I6" s="190"/>
      <c r="J6" s="190"/>
      <c r="K6" s="190"/>
      <c r="L6" s="196"/>
      <c r="M6" s="196"/>
      <c r="N6" s="17">
        <f t="shared" si="0"/>
        <v>945</v>
      </c>
    </row>
    <row r="7" spans="1:14">
      <c r="A7" s="206" t="s">
        <v>202</v>
      </c>
      <c r="B7" s="190"/>
      <c r="C7" s="93"/>
      <c r="D7" s="190">
        <v>4000</v>
      </c>
      <c r="E7" s="190"/>
      <c r="F7" s="93"/>
      <c r="G7" s="93"/>
      <c r="H7" s="190"/>
      <c r="I7" s="190"/>
      <c r="J7" s="190"/>
      <c r="K7" s="190"/>
      <c r="L7" s="196"/>
      <c r="M7" s="196"/>
      <c r="N7" s="17">
        <f t="shared" si="0"/>
        <v>4000</v>
      </c>
    </row>
    <row r="8" spans="1:14">
      <c r="A8" s="206" t="s">
        <v>227</v>
      </c>
      <c r="B8" s="190"/>
      <c r="C8" s="93"/>
      <c r="D8" s="190"/>
      <c r="E8" s="190">
        <v>4500</v>
      </c>
      <c r="F8" s="93"/>
      <c r="G8" s="93"/>
      <c r="H8" s="190"/>
      <c r="I8" s="190"/>
      <c r="J8" s="190"/>
      <c r="K8" s="190"/>
      <c r="L8" s="196"/>
      <c r="M8" s="196"/>
      <c r="N8" s="17">
        <f t="shared" si="0"/>
        <v>4500</v>
      </c>
    </row>
    <row r="9" spans="1:14">
      <c r="A9" s="206" t="s">
        <v>228</v>
      </c>
      <c r="B9" s="190"/>
      <c r="C9" s="93"/>
      <c r="D9" s="190"/>
      <c r="E9" s="190">
        <v>270</v>
      </c>
      <c r="F9" s="190"/>
      <c r="G9" s="190"/>
      <c r="H9" s="190"/>
      <c r="I9" s="190"/>
      <c r="J9" s="190"/>
      <c r="K9" s="190"/>
      <c r="L9" s="196"/>
      <c r="M9" s="196"/>
      <c r="N9" s="17">
        <f t="shared" si="0"/>
        <v>270</v>
      </c>
    </row>
    <row r="10" spans="1:14">
      <c r="A10" s="206"/>
      <c r="B10" s="190"/>
      <c r="C10" s="93"/>
      <c r="D10" s="190"/>
      <c r="E10" s="190"/>
      <c r="F10" s="190"/>
      <c r="G10" s="190"/>
      <c r="H10" s="190"/>
      <c r="I10" s="190"/>
      <c r="J10" s="190"/>
      <c r="K10" s="190"/>
      <c r="L10" s="196"/>
      <c r="M10" s="196"/>
      <c r="N10" s="17">
        <f t="shared" si="0"/>
        <v>0</v>
      </c>
    </row>
    <row r="11" spans="1:14">
      <c r="A11" s="206"/>
      <c r="B11" s="190"/>
      <c r="C11" s="93"/>
      <c r="D11" s="190"/>
      <c r="E11" s="190"/>
      <c r="F11" s="93"/>
      <c r="G11" s="237"/>
      <c r="H11" s="190"/>
      <c r="I11" s="190"/>
      <c r="J11" s="190"/>
      <c r="K11" s="190"/>
      <c r="L11" s="196"/>
      <c r="M11" s="196"/>
      <c r="N11" s="17">
        <f t="shared" si="0"/>
        <v>0</v>
      </c>
    </row>
    <row r="12" spans="1:14">
      <c r="A12" s="206"/>
      <c r="B12" s="190"/>
      <c r="C12" s="93"/>
      <c r="D12" s="190"/>
      <c r="E12" s="190"/>
      <c r="F12" s="93"/>
      <c r="G12" s="93"/>
      <c r="H12" s="190"/>
      <c r="I12" s="190"/>
      <c r="J12" s="190"/>
      <c r="K12" s="190"/>
      <c r="L12" s="196"/>
      <c r="M12" s="196"/>
      <c r="N12" s="17">
        <f t="shared" si="0"/>
        <v>0</v>
      </c>
    </row>
    <row r="13" spans="1:14">
      <c r="A13" s="206"/>
      <c r="B13" s="190"/>
      <c r="C13" s="93"/>
      <c r="D13" s="190"/>
      <c r="E13" s="190"/>
      <c r="F13" s="93"/>
      <c r="G13" s="237"/>
      <c r="H13" s="190"/>
      <c r="I13" s="190"/>
      <c r="J13" s="190"/>
      <c r="K13" s="190"/>
      <c r="L13" s="196"/>
      <c r="M13" s="196"/>
      <c r="N13" s="17">
        <f t="shared" si="0"/>
        <v>0</v>
      </c>
    </row>
    <row r="14" spans="1:14">
      <c r="A14" s="206"/>
      <c r="B14" s="190"/>
      <c r="C14" s="93"/>
      <c r="D14" s="190"/>
      <c r="E14" s="190"/>
      <c r="F14" s="93"/>
      <c r="G14" s="93"/>
      <c r="H14" s="190"/>
      <c r="I14" s="190"/>
      <c r="J14" s="190"/>
      <c r="K14" s="190"/>
      <c r="L14" s="196"/>
      <c r="M14" s="196"/>
      <c r="N14" s="17">
        <f t="shared" si="0"/>
        <v>0</v>
      </c>
    </row>
    <row r="15" spans="1:14">
      <c r="A15" s="221"/>
      <c r="B15" s="93"/>
      <c r="C15" s="190"/>
      <c r="D15" s="190"/>
      <c r="E15" s="190"/>
      <c r="F15" s="190"/>
      <c r="G15" s="190"/>
      <c r="H15" s="190"/>
      <c r="I15" s="190"/>
      <c r="J15" s="190"/>
      <c r="K15" s="190"/>
      <c r="L15" s="190"/>
      <c r="M15" s="196"/>
      <c r="N15" s="17">
        <f t="shared" si="0"/>
        <v>0</v>
      </c>
    </row>
    <row r="16" spans="1:14">
      <c r="A16" s="206"/>
      <c r="B16" s="190"/>
      <c r="C16" s="93"/>
      <c r="D16" s="190"/>
      <c r="E16" s="190"/>
      <c r="F16" s="93"/>
      <c r="G16" s="93"/>
      <c r="H16" s="190"/>
      <c r="I16" s="190"/>
      <c r="J16" s="190"/>
      <c r="K16" s="190"/>
      <c r="L16" s="196"/>
      <c r="M16" s="196"/>
      <c r="N16" s="17">
        <f t="shared" ref="N16:N23" si="1">SUM(B16:M16)</f>
        <v>0</v>
      </c>
    </row>
    <row r="17" spans="1:14">
      <c r="A17" s="206"/>
      <c r="B17" s="190"/>
      <c r="C17" s="93"/>
      <c r="D17" s="190"/>
      <c r="E17" s="190"/>
      <c r="F17" s="93"/>
      <c r="G17" s="93"/>
      <c r="H17" s="190"/>
      <c r="I17" s="190"/>
      <c r="J17" s="190"/>
      <c r="K17" s="190"/>
      <c r="L17" s="196"/>
      <c r="M17" s="196"/>
      <c r="N17" s="17">
        <f t="shared" si="1"/>
        <v>0</v>
      </c>
    </row>
    <row r="18" spans="1:14">
      <c r="A18" s="206"/>
      <c r="B18" s="190"/>
      <c r="C18" s="93"/>
      <c r="D18" s="190"/>
      <c r="E18" s="190"/>
      <c r="F18" s="93"/>
      <c r="G18" s="93"/>
      <c r="H18" s="190"/>
      <c r="I18" s="190"/>
      <c r="J18" s="190"/>
      <c r="K18" s="190"/>
      <c r="L18" s="196"/>
      <c r="M18" s="196"/>
      <c r="N18" s="17">
        <f t="shared" si="1"/>
        <v>0</v>
      </c>
    </row>
    <row r="19" spans="1:14">
      <c r="A19" s="206"/>
      <c r="B19" s="190"/>
      <c r="C19" s="93"/>
      <c r="D19" s="190"/>
      <c r="E19" s="190"/>
      <c r="F19" s="93"/>
      <c r="G19" s="93"/>
      <c r="H19" s="190"/>
      <c r="I19" s="190"/>
      <c r="J19" s="190"/>
      <c r="K19" s="190"/>
      <c r="L19" s="190"/>
      <c r="M19" s="196"/>
      <c r="N19" s="17">
        <f t="shared" si="1"/>
        <v>0</v>
      </c>
    </row>
    <row r="20" spans="1:14">
      <c r="A20" s="206"/>
      <c r="B20" s="190"/>
      <c r="C20" s="93"/>
      <c r="D20" s="190"/>
      <c r="E20" s="190"/>
      <c r="F20" s="93"/>
      <c r="G20" s="93"/>
      <c r="H20" s="190"/>
      <c r="I20" s="190"/>
      <c r="J20" s="190"/>
      <c r="K20" s="190"/>
      <c r="L20" s="190"/>
      <c r="M20" s="196"/>
      <c r="N20" s="17">
        <f t="shared" si="1"/>
        <v>0</v>
      </c>
    </row>
    <row r="21" spans="1:14">
      <c r="A21" s="206"/>
      <c r="B21" s="190"/>
      <c r="C21" s="93"/>
      <c r="D21" s="190"/>
      <c r="E21" s="190"/>
      <c r="F21" s="93"/>
      <c r="G21" s="93"/>
      <c r="H21" s="190"/>
      <c r="I21" s="190"/>
      <c r="J21" s="190"/>
      <c r="K21" s="190"/>
      <c r="L21" s="190"/>
      <c r="M21" s="196"/>
      <c r="N21" s="17">
        <f t="shared" si="1"/>
        <v>0</v>
      </c>
    </row>
    <row r="22" spans="1:14">
      <c r="A22" s="206"/>
      <c r="B22" s="190"/>
      <c r="C22" s="93"/>
      <c r="D22" s="190"/>
      <c r="E22" s="190"/>
      <c r="F22" s="93"/>
      <c r="G22" s="93"/>
      <c r="H22" s="190"/>
      <c r="I22" s="190"/>
      <c r="J22" s="190"/>
      <c r="K22" s="190"/>
      <c r="L22" s="190"/>
      <c r="M22" s="196"/>
      <c r="N22" s="17">
        <f t="shared" si="1"/>
        <v>0</v>
      </c>
    </row>
    <row r="23" spans="1:14">
      <c r="A23" s="206" t="s">
        <v>248</v>
      </c>
      <c r="B23" s="190"/>
      <c r="C23" s="93"/>
      <c r="D23" s="190"/>
      <c r="E23" s="190">
        <v>-10000</v>
      </c>
      <c r="F23" s="93"/>
      <c r="G23" s="93"/>
      <c r="H23" s="190"/>
      <c r="I23" s="190"/>
      <c r="J23" s="190"/>
      <c r="K23" s="190"/>
      <c r="L23" s="196"/>
      <c r="M23" s="196"/>
      <c r="N23" s="17">
        <f t="shared" si="1"/>
        <v>-10000</v>
      </c>
    </row>
    <row r="24" spans="1:14">
      <c r="A24" s="5" t="s">
        <v>14</v>
      </c>
      <c r="B24" s="225">
        <f t="shared" ref="B24:N24" si="2">SUM(B3:B23)</f>
        <v>16330</v>
      </c>
      <c r="C24" s="224">
        <f t="shared" si="2"/>
        <v>17969</v>
      </c>
      <c r="D24" s="225">
        <f t="shared" si="2"/>
        <v>20300</v>
      </c>
      <c r="E24" s="225">
        <f t="shared" si="2"/>
        <v>11070</v>
      </c>
      <c r="F24" s="225">
        <f t="shared" si="2"/>
        <v>0</v>
      </c>
      <c r="G24" s="225">
        <f t="shared" si="2"/>
        <v>0</v>
      </c>
      <c r="H24" s="225">
        <f t="shared" si="2"/>
        <v>0</v>
      </c>
      <c r="I24" s="225">
        <f t="shared" si="2"/>
        <v>0</v>
      </c>
      <c r="J24" s="225">
        <f t="shared" si="2"/>
        <v>0</v>
      </c>
      <c r="K24" s="225">
        <f t="shared" si="2"/>
        <v>0</v>
      </c>
      <c r="L24" s="225">
        <f t="shared" si="2"/>
        <v>0</v>
      </c>
      <c r="M24" s="225">
        <f t="shared" si="2"/>
        <v>0</v>
      </c>
      <c r="N24" s="225">
        <f t="shared" si="2"/>
        <v>65669</v>
      </c>
    </row>
    <row r="26" spans="1:14">
      <c r="N26" s="234">
        <f>SUM(B24:M24)-N24</f>
        <v>0</v>
      </c>
    </row>
  </sheetData>
  <phoneticPr fontId="31" type="noConversion"/>
  <pageMargins left="0.25" right="0.25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9" tint="-0.499984740745262"/>
    <pageSetUpPr fitToPage="1"/>
  </sheetPr>
  <dimension ref="A1:N23"/>
  <sheetViews>
    <sheetView workbookViewId="0">
      <selection activeCell="E6" sqref="E6"/>
    </sheetView>
  </sheetViews>
  <sheetFormatPr defaultRowHeight="15"/>
  <cols>
    <col min="1" max="1" width="33.140625" bestFit="1" customWidth="1"/>
    <col min="3" max="3" width="8" customWidth="1"/>
    <col min="4" max="4" width="8.28515625" customWidth="1"/>
    <col min="5" max="5" width="8" customWidth="1"/>
    <col min="6" max="6" width="8.28515625" customWidth="1"/>
    <col min="7" max="7" width="8" customWidth="1"/>
  </cols>
  <sheetData>
    <row r="1" spans="1:14">
      <c r="A1" s="14" t="s">
        <v>27</v>
      </c>
      <c r="B1" s="2"/>
      <c r="C1" s="2"/>
      <c r="D1" s="2"/>
      <c r="E1" s="2"/>
      <c r="F1" s="27"/>
      <c r="G1" s="27" t="str">
        <f ca="1">'ВСЕ затраты в 2020-2021 гг'!C1</f>
        <v>2021-2022гг.</v>
      </c>
      <c r="H1" s="2"/>
      <c r="I1" s="2"/>
      <c r="J1" s="2"/>
      <c r="K1" s="2"/>
      <c r="L1" s="2"/>
      <c r="M1" s="2"/>
      <c r="N1" s="1"/>
    </row>
    <row r="2" spans="1:14">
      <c r="A2" s="1"/>
      <c r="B2" s="8" t="s">
        <v>1</v>
      </c>
      <c r="C2" s="8" t="s">
        <v>2</v>
      </c>
      <c r="D2" s="8" t="s">
        <v>3</v>
      </c>
      <c r="E2" s="7" t="s">
        <v>4</v>
      </c>
      <c r="F2" s="8" t="s">
        <v>5</v>
      </c>
      <c r="G2" s="7" t="s">
        <v>6</v>
      </c>
      <c r="H2" s="8" t="s">
        <v>7</v>
      </c>
      <c r="I2" s="7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8"/>
    </row>
    <row r="3" spans="1:14">
      <c r="A3" s="2"/>
      <c r="B3" s="6"/>
      <c r="C3" s="6"/>
      <c r="D3" s="6"/>
      <c r="E3" s="9"/>
      <c r="F3" s="6"/>
      <c r="G3" s="9"/>
      <c r="H3" s="6"/>
      <c r="I3" s="9"/>
      <c r="J3" s="6"/>
      <c r="K3" s="6"/>
      <c r="L3" s="6"/>
      <c r="M3" s="6"/>
      <c r="N3" s="6"/>
    </row>
    <row r="4" spans="1:14">
      <c r="A4" s="14" t="s">
        <v>27</v>
      </c>
      <c r="B4" s="190">
        <v>104227.73</v>
      </c>
      <c r="C4" s="190">
        <v>106229.16</v>
      </c>
      <c r="D4" s="190">
        <v>113320.04</v>
      </c>
      <c r="E4" s="190">
        <v>121315.96</v>
      </c>
      <c r="F4" s="190"/>
      <c r="G4" s="190"/>
      <c r="H4" s="190"/>
      <c r="I4" s="190"/>
      <c r="J4" s="190"/>
      <c r="K4" s="190"/>
      <c r="L4" s="196"/>
      <c r="M4" s="190"/>
      <c r="N4" s="6">
        <f t="shared" ref="N4:N9" si="0">SUM(B4:M4)</f>
        <v>445092.89</v>
      </c>
    </row>
    <row r="5" spans="1:14">
      <c r="A5" s="14" t="s">
        <v>119</v>
      </c>
      <c r="B5" s="190">
        <f>-2188.55-12092.49</f>
        <v>-14281.04</v>
      </c>
      <c r="C5" s="190">
        <f>-2484.3-34009.75</f>
        <v>-36494.050000000003</v>
      </c>
      <c r="D5" s="190">
        <f>-1365-6363.17</f>
        <v>-7728.17</v>
      </c>
      <c r="E5" s="190">
        <f>-2161.04-24469.53</f>
        <v>-26630.57</v>
      </c>
      <c r="F5" s="190"/>
      <c r="G5" s="190"/>
      <c r="H5" s="190"/>
      <c r="I5" s="190"/>
      <c r="J5" s="190"/>
      <c r="K5" s="190"/>
      <c r="L5" s="196"/>
      <c r="M5" s="190"/>
      <c r="N5" s="6">
        <f t="shared" si="0"/>
        <v>-85133.83</v>
      </c>
    </row>
    <row r="6" spans="1:14">
      <c r="A6" s="17" t="s">
        <v>147</v>
      </c>
      <c r="B6" s="190">
        <v>158</v>
      </c>
      <c r="C6" s="190"/>
      <c r="D6" s="190"/>
      <c r="E6" s="190"/>
      <c r="F6" s="190"/>
      <c r="G6" s="190"/>
      <c r="H6" s="190"/>
      <c r="I6" s="190"/>
      <c r="J6" s="190"/>
      <c r="K6" s="190"/>
      <c r="L6" s="196"/>
      <c r="M6" s="196"/>
      <c r="N6" s="6">
        <f t="shared" si="0"/>
        <v>158</v>
      </c>
    </row>
    <row r="7" spans="1:14">
      <c r="A7" s="17" t="s">
        <v>186</v>
      </c>
      <c r="B7" s="190"/>
      <c r="C7" s="190">
        <v>3500</v>
      </c>
      <c r="D7" s="190">
        <v>1200</v>
      </c>
      <c r="E7" s="190"/>
      <c r="F7" s="190"/>
      <c r="G7" s="190"/>
      <c r="H7" s="190"/>
      <c r="I7" s="190"/>
      <c r="J7" s="190"/>
      <c r="K7" s="190"/>
      <c r="L7" s="196"/>
      <c r="M7" s="196"/>
      <c r="N7" s="17">
        <f t="shared" si="0"/>
        <v>4700</v>
      </c>
    </row>
    <row r="8" spans="1:14">
      <c r="A8" s="17" t="s">
        <v>187</v>
      </c>
      <c r="B8" s="190"/>
      <c r="C8" s="190">
        <v>2870</v>
      </c>
      <c r="D8" s="190"/>
      <c r="E8" s="190"/>
      <c r="F8" s="190"/>
      <c r="G8" s="190"/>
      <c r="H8" s="190"/>
      <c r="I8" s="190"/>
      <c r="J8" s="190"/>
      <c r="K8" s="190"/>
      <c r="L8" s="196"/>
      <c r="M8" s="196"/>
      <c r="N8" s="17">
        <f t="shared" si="0"/>
        <v>2870</v>
      </c>
    </row>
    <row r="9" spans="1:14">
      <c r="A9" s="17" t="s">
        <v>206</v>
      </c>
      <c r="B9" s="190"/>
      <c r="C9" s="190"/>
      <c r="D9" s="190">
        <v>4696</v>
      </c>
      <c r="E9" s="190"/>
      <c r="F9" s="190"/>
      <c r="G9" s="190"/>
      <c r="H9" s="190"/>
      <c r="I9" s="190"/>
      <c r="J9" s="190"/>
      <c r="K9" s="190"/>
      <c r="L9" s="196"/>
      <c r="M9" s="196"/>
      <c r="N9" s="17">
        <f t="shared" si="0"/>
        <v>4696</v>
      </c>
    </row>
    <row r="10" spans="1:14">
      <c r="A10" s="209" t="s">
        <v>207</v>
      </c>
      <c r="B10" s="190"/>
      <c r="C10" s="190"/>
      <c r="D10" s="190">
        <v>18000</v>
      </c>
      <c r="E10" s="190"/>
      <c r="F10" s="190"/>
      <c r="G10" s="190"/>
      <c r="H10" s="190"/>
      <c r="I10" s="190"/>
      <c r="J10" s="190"/>
      <c r="K10" s="190"/>
      <c r="L10" s="196"/>
      <c r="M10" s="196"/>
      <c r="N10" s="17">
        <f t="shared" ref="N10:N20" si="1">SUM(B10:M10)</f>
        <v>18000</v>
      </c>
    </row>
    <row r="11" spans="1:14">
      <c r="A11" s="4" t="s">
        <v>208</v>
      </c>
      <c r="B11" s="88"/>
      <c r="C11" s="88"/>
      <c r="D11" s="88">
        <v>4861</v>
      </c>
      <c r="E11" s="180"/>
      <c r="F11" s="88"/>
      <c r="G11" s="180"/>
      <c r="H11" s="88"/>
      <c r="I11" s="180"/>
      <c r="J11" s="88"/>
      <c r="K11" s="88"/>
      <c r="L11" s="197"/>
      <c r="M11" s="197"/>
      <c r="N11" s="6">
        <f t="shared" si="1"/>
        <v>4861</v>
      </c>
    </row>
    <row r="12" spans="1:14">
      <c r="A12" s="2" t="s">
        <v>240</v>
      </c>
      <c r="B12" s="88"/>
      <c r="C12" s="88"/>
      <c r="D12" s="88"/>
      <c r="E12" s="180">
        <v>27600</v>
      </c>
      <c r="F12" s="88"/>
      <c r="G12" s="180"/>
      <c r="H12" s="88"/>
      <c r="I12" s="180"/>
      <c r="J12" s="88"/>
      <c r="K12" s="88"/>
      <c r="L12" s="197"/>
      <c r="M12" s="197"/>
      <c r="N12" s="6">
        <f t="shared" si="1"/>
        <v>27600</v>
      </c>
    </row>
    <row r="13" spans="1:14">
      <c r="A13" s="204" t="s">
        <v>241</v>
      </c>
      <c r="B13" s="88"/>
      <c r="C13" s="88"/>
      <c r="D13" s="88"/>
      <c r="E13" s="180">
        <v>1700</v>
      </c>
      <c r="F13" s="88"/>
      <c r="G13" s="251"/>
      <c r="H13" s="88"/>
      <c r="I13" s="180"/>
      <c r="J13" s="88"/>
      <c r="K13" s="88"/>
      <c r="L13" s="197"/>
      <c r="M13" s="197"/>
      <c r="N13" s="6">
        <f t="shared" si="1"/>
        <v>1700</v>
      </c>
    </row>
    <row r="14" spans="1:14">
      <c r="A14" s="3" t="s">
        <v>242</v>
      </c>
      <c r="B14" s="190"/>
      <c r="C14" s="190"/>
      <c r="D14" s="190"/>
      <c r="E14" s="191">
        <v>1500</v>
      </c>
      <c r="F14" s="190"/>
      <c r="G14" s="191"/>
      <c r="H14" s="190"/>
      <c r="I14" s="191"/>
      <c r="J14" s="190"/>
      <c r="K14" s="190"/>
      <c r="L14" s="196"/>
      <c r="M14" s="196"/>
      <c r="N14" s="6">
        <f t="shared" si="1"/>
        <v>1500</v>
      </c>
    </row>
    <row r="15" spans="1:14">
      <c r="A15" s="11" t="s">
        <v>243</v>
      </c>
      <c r="B15" s="190"/>
      <c r="C15" s="190"/>
      <c r="D15" s="190"/>
      <c r="E15" s="191">
        <v>6800</v>
      </c>
      <c r="F15" s="190"/>
      <c r="G15" s="191"/>
      <c r="H15" s="190"/>
      <c r="I15" s="191"/>
      <c r="J15" s="190"/>
      <c r="K15" s="190"/>
      <c r="L15" s="196"/>
      <c r="M15" s="196"/>
      <c r="N15" s="6">
        <f t="shared" si="1"/>
        <v>6800</v>
      </c>
    </row>
    <row r="16" spans="1:14">
      <c r="A16" s="11" t="s">
        <v>244</v>
      </c>
      <c r="B16" s="190"/>
      <c r="C16" s="190"/>
      <c r="D16" s="190"/>
      <c r="E16" s="191">
        <v>25770</v>
      </c>
      <c r="F16" s="190"/>
      <c r="G16" s="191"/>
      <c r="H16" s="190"/>
      <c r="I16" s="191"/>
      <c r="J16" s="190"/>
      <c r="K16" s="190"/>
      <c r="L16" s="196"/>
      <c r="M16" s="196"/>
      <c r="N16" s="6">
        <f t="shared" si="1"/>
        <v>25770</v>
      </c>
    </row>
    <row r="17" spans="1:14">
      <c r="A17" s="2" t="s">
        <v>245</v>
      </c>
      <c r="B17" s="190"/>
      <c r="C17" s="190"/>
      <c r="D17" s="190"/>
      <c r="E17" s="190">
        <v>2011.2</v>
      </c>
      <c r="F17" s="190"/>
      <c r="G17" s="190"/>
      <c r="H17" s="190"/>
      <c r="I17" s="190"/>
      <c r="J17" s="190"/>
      <c r="K17" s="190"/>
      <c r="L17" s="190"/>
      <c r="M17" s="190"/>
      <c r="N17" s="6">
        <f>SUM(B17:M17)</f>
        <v>2011.2</v>
      </c>
    </row>
    <row r="18" spans="1:14">
      <c r="A18" s="2" t="s">
        <v>246</v>
      </c>
      <c r="B18" s="190"/>
      <c r="C18" s="190"/>
      <c r="D18" s="190"/>
      <c r="E18" s="190">
        <v>4980</v>
      </c>
      <c r="F18" s="190"/>
      <c r="G18" s="190"/>
      <c r="H18" s="190"/>
      <c r="I18" s="190"/>
      <c r="J18" s="190"/>
      <c r="K18" s="190"/>
      <c r="L18" s="190"/>
      <c r="M18" s="190"/>
      <c r="N18" s="6">
        <f>SUM(B18:M18)</f>
        <v>4980</v>
      </c>
    </row>
    <row r="19" spans="1:14">
      <c r="A19" s="2" t="s">
        <v>247</v>
      </c>
      <c r="B19" s="190"/>
      <c r="C19" s="190"/>
      <c r="D19" s="190"/>
      <c r="E19" s="190">
        <v>27670</v>
      </c>
      <c r="F19" s="190"/>
      <c r="G19" s="190"/>
      <c r="H19" s="190"/>
      <c r="I19" s="190"/>
      <c r="J19" s="190"/>
      <c r="K19" s="190"/>
      <c r="L19" s="190"/>
      <c r="M19" s="190"/>
      <c r="N19" s="6">
        <f>SUM(B19:M19)</f>
        <v>27670</v>
      </c>
    </row>
    <row r="20" spans="1:14">
      <c r="A20" s="2"/>
      <c r="B20" s="190"/>
      <c r="C20" s="190"/>
      <c r="D20" s="190"/>
      <c r="E20" s="190"/>
      <c r="F20" s="190"/>
      <c r="G20" s="190"/>
      <c r="H20" s="190"/>
      <c r="I20" s="190"/>
      <c r="J20" s="190"/>
      <c r="K20" s="190"/>
      <c r="L20" s="190"/>
      <c r="M20" s="190"/>
      <c r="N20" s="6">
        <f t="shared" si="1"/>
        <v>0</v>
      </c>
    </row>
    <row r="21" spans="1:14">
      <c r="A21" s="5" t="s">
        <v>14</v>
      </c>
      <c r="B21" s="225">
        <f>SUM(B4:B20)</f>
        <v>90104.69</v>
      </c>
      <c r="C21" s="225">
        <f t="shared" ref="C21:N21" si="2">SUM(C4:C20)</f>
        <v>76105.11</v>
      </c>
      <c r="D21" s="225">
        <f t="shared" si="2"/>
        <v>134348.87</v>
      </c>
      <c r="E21" s="225">
        <f t="shared" si="2"/>
        <v>192716.59000000003</v>
      </c>
      <c r="F21" s="225">
        <f t="shared" si="2"/>
        <v>0</v>
      </c>
      <c r="G21" s="225">
        <f t="shared" si="2"/>
        <v>0</v>
      </c>
      <c r="H21" s="225">
        <f t="shared" si="2"/>
        <v>0</v>
      </c>
      <c r="I21" s="225">
        <f t="shared" si="2"/>
        <v>0</v>
      </c>
      <c r="J21" s="225">
        <f t="shared" si="2"/>
        <v>0</v>
      </c>
      <c r="K21" s="225">
        <f t="shared" si="2"/>
        <v>0</v>
      </c>
      <c r="L21" s="225">
        <f t="shared" si="2"/>
        <v>0</v>
      </c>
      <c r="M21" s="225">
        <f t="shared" si="2"/>
        <v>0</v>
      </c>
      <c r="N21" s="225">
        <f t="shared" si="2"/>
        <v>493275.26</v>
      </c>
    </row>
    <row r="23" spans="1:14">
      <c r="N23" s="234">
        <f>SUM(B21:M21)-N21</f>
        <v>0</v>
      </c>
    </row>
  </sheetData>
  <phoneticPr fontId="31" type="noConversion"/>
  <pageMargins left="0.25" right="0.25" top="0.75" bottom="0.75" header="0.3" footer="0.3"/>
  <pageSetup paperSize="9" scale="9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1" tint="4.9989318521683403E-2"/>
    <pageSetUpPr fitToPage="1"/>
  </sheetPr>
  <dimension ref="A1:N39"/>
  <sheetViews>
    <sheetView workbookViewId="0">
      <selection activeCell="E16" sqref="E16"/>
    </sheetView>
  </sheetViews>
  <sheetFormatPr defaultRowHeight="15"/>
  <cols>
    <col min="1" max="1" width="29.42578125" bestFit="1" customWidth="1"/>
    <col min="2" max="2" width="11.42578125" style="30" customWidth="1"/>
    <col min="3" max="3" width="10" customWidth="1"/>
    <col min="4" max="4" width="10" style="30" customWidth="1"/>
    <col min="5" max="5" width="9.42578125" customWidth="1"/>
    <col min="6" max="6" width="11.5703125" customWidth="1"/>
  </cols>
  <sheetData>
    <row r="1" spans="1:14">
      <c r="A1" s="14" t="s">
        <v>29</v>
      </c>
      <c r="B1" s="25"/>
      <c r="C1" s="2"/>
      <c r="D1" s="25"/>
      <c r="E1" s="2"/>
      <c r="F1" s="27"/>
      <c r="G1" s="27" t="str">
        <f ca="1">'ВСЕ затраты в 2020-2021 гг'!C1</f>
        <v>2021-2022гг.</v>
      </c>
      <c r="H1" s="5"/>
      <c r="I1" s="2"/>
      <c r="J1" s="2"/>
      <c r="K1" s="2"/>
      <c r="L1" s="2"/>
      <c r="M1" s="2"/>
      <c r="N1" s="1"/>
    </row>
    <row r="2" spans="1:14">
      <c r="A2" s="1"/>
      <c r="B2" s="22" t="s">
        <v>1</v>
      </c>
      <c r="C2" s="22" t="s">
        <v>2</v>
      </c>
      <c r="D2" s="24" t="s">
        <v>3</v>
      </c>
      <c r="E2" s="22" t="s">
        <v>4</v>
      </c>
      <c r="F2" s="22" t="s">
        <v>5</v>
      </c>
      <c r="G2" s="23" t="s">
        <v>6</v>
      </c>
      <c r="H2" s="22" t="s">
        <v>7</v>
      </c>
      <c r="I2" s="23" t="s">
        <v>8</v>
      </c>
      <c r="J2" s="22" t="s">
        <v>9</v>
      </c>
      <c r="K2" s="22" t="s">
        <v>10</v>
      </c>
      <c r="L2" s="22" t="s">
        <v>11</v>
      </c>
      <c r="M2" s="22" t="s">
        <v>12</v>
      </c>
      <c r="N2" s="22" t="s">
        <v>14</v>
      </c>
    </row>
    <row r="3" spans="1:14">
      <c r="A3" s="2"/>
      <c r="B3" s="29"/>
      <c r="C3" s="6"/>
      <c r="D3" s="29"/>
      <c r="E3" s="9"/>
      <c r="F3" s="6"/>
      <c r="G3" s="9"/>
      <c r="H3" s="6"/>
      <c r="I3" s="9"/>
      <c r="J3" s="6"/>
      <c r="K3" s="6"/>
      <c r="L3" s="6"/>
      <c r="M3" s="6"/>
      <c r="N3" s="6"/>
    </row>
    <row r="4" spans="1:14">
      <c r="A4" s="4" t="s">
        <v>135</v>
      </c>
      <c r="B4" s="93">
        <v>16000</v>
      </c>
      <c r="C4" s="190"/>
      <c r="D4" s="93"/>
      <c r="E4" s="190"/>
      <c r="F4" s="190"/>
      <c r="G4" s="190"/>
      <c r="H4" s="190"/>
      <c r="I4" s="190"/>
      <c r="J4" s="190"/>
      <c r="K4" s="190"/>
      <c r="L4" s="196"/>
      <c r="M4" s="196"/>
      <c r="N4" s="10">
        <f t="shared" ref="N4:N35" si="0">SUM(B4:M4)</f>
        <v>16000</v>
      </c>
    </row>
    <row r="5" spans="1:14">
      <c r="A5" s="2" t="s">
        <v>136</v>
      </c>
      <c r="B5" s="93">
        <v>11726.29</v>
      </c>
      <c r="C5" s="190"/>
      <c r="D5" s="93"/>
      <c r="E5" s="190"/>
      <c r="F5" s="190"/>
      <c r="G5" s="190"/>
      <c r="H5" s="190"/>
      <c r="I5" s="190"/>
      <c r="J5" s="190"/>
      <c r="K5" s="190"/>
      <c r="L5" s="196"/>
      <c r="M5" s="196"/>
      <c r="N5" s="6">
        <f t="shared" si="0"/>
        <v>11726.29</v>
      </c>
    </row>
    <row r="6" spans="1:14">
      <c r="A6" s="2" t="s">
        <v>148</v>
      </c>
      <c r="B6" s="93">
        <v>500</v>
      </c>
      <c r="C6" s="190"/>
      <c r="D6" s="93"/>
      <c r="E6" s="190"/>
      <c r="F6" s="190"/>
      <c r="G6" s="190"/>
      <c r="H6" s="190"/>
      <c r="I6" s="190"/>
      <c r="J6" s="190"/>
      <c r="K6" s="190"/>
      <c r="L6" s="196"/>
      <c r="M6" s="196"/>
      <c r="N6" s="6">
        <f t="shared" si="0"/>
        <v>500</v>
      </c>
    </row>
    <row r="7" spans="1:14">
      <c r="A7" s="2" t="s">
        <v>149</v>
      </c>
      <c r="B7" s="93">
        <v>9676</v>
      </c>
      <c r="C7" s="190"/>
      <c r="D7" s="93">
        <v>9699.77</v>
      </c>
      <c r="E7" s="190"/>
      <c r="F7" s="190"/>
      <c r="G7" s="190"/>
      <c r="H7" s="190"/>
      <c r="I7" s="190"/>
      <c r="J7" s="190"/>
      <c r="K7" s="190"/>
      <c r="L7" s="196"/>
      <c r="M7" s="196"/>
      <c r="N7" s="6">
        <f t="shared" si="0"/>
        <v>19375.77</v>
      </c>
    </row>
    <row r="8" spans="1:14">
      <c r="A8" s="2" t="s">
        <v>196</v>
      </c>
      <c r="B8" s="93"/>
      <c r="C8" s="190"/>
      <c r="D8" s="93">
        <v>4508</v>
      </c>
      <c r="E8" s="190"/>
      <c r="F8" s="190"/>
      <c r="G8" s="190"/>
      <c r="H8" s="190"/>
      <c r="I8" s="190"/>
      <c r="J8" s="190"/>
      <c r="K8" s="190"/>
      <c r="L8" s="196"/>
      <c r="M8" s="196"/>
      <c r="N8" s="6">
        <f t="shared" si="0"/>
        <v>4508</v>
      </c>
    </row>
    <row r="9" spans="1:14">
      <c r="A9" s="2" t="s">
        <v>151</v>
      </c>
      <c r="B9" s="93">
        <v>1975.2</v>
      </c>
      <c r="C9" s="190"/>
      <c r="D9" s="93">
        <v>2007.2</v>
      </c>
      <c r="E9" s="190"/>
      <c r="F9" s="190"/>
      <c r="G9" s="190"/>
      <c r="H9" s="190"/>
      <c r="I9" s="190"/>
      <c r="J9" s="190"/>
      <c r="K9" s="190"/>
      <c r="L9" s="196"/>
      <c r="M9" s="196"/>
      <c r="N9" s="6">
        <f t="shared" si="0"/>
        <v>3982.4</v>
      </c>
    </row>
    <row r="10" spans="1:14">
      <c r="A10" s="2" t="s">
        <v>150</v>
      </c>
      <c r="B10" s="93">
        <v>1250</v>
      </c>
      <c r="C10" s="190"/>
      <c r="D10" s="93"/>
      <c r="E10" s="190"/>
      <c r="F10" s="190"/>
      <c r="G10" s="190"/>
      <c r="H10" s="190"/>
      <c r="I10" s="190"/>
      <c r="J10" s="190"/>
      <c r="K10" s="190"/>
      <c r="L10" s="196"/>
      <c r="M10" s="196"/>
      <c r="N10" s="6">
        <f t="shared" si="0"/>
        <v>1250</v>
      </c>
    </row>
    <row r="11" spans="1:14">
      <c r="A11" s="2" t="s">
        <v>161</v>
      </c>
      <c r="B11" s="93"/>
      <c r="C11" s="190">
        <v>2000</v>
      </c>
      <c r="D11" s="93"/>
      <c r="E11" s="56"/>
      <c r="F11" s="190"/>
      <c r="G11" s="190"/>
      <c r="H11" s="190"/>
      <c r="I11" s="190"/>
      <c r="J11" s="190"/>
      <c r="K11" s="190"/>
      <c r="L11" s="196"/>
      <c r="M11" s="196"/>
      <c r="N11" s="9">
        <f t="shared" si="0"/>
        <v>2000</v>
      </c>
    </row>
    <row r="12" spans="1:14">
      <c r="A12" s="2" t="s">
        <v>173</v>
      </c>
      <c r="B12" s="93"/>
      <c r="C12" s="190">
        <v>1800</v>
      </c>
      <c r="D12" s="93"/>
      <c r="E12" s="190"/>
      <c r="F12" s="190"/>
      <c r="G12" s="190"/>
      <c r="H12" s="190"/>
      <c r="I12" s="190"/>
      <c r="J12" s="190"/>
      <c r="K12" s="190"/>
      <c r="L12" s="196"/>
      <c r="M12" s="196"/>
      <c r="N12" s="9">
        <f t="shared" si="0"/>
        <v>1800</v>
      </c>
    </row>
    <row r="13" spans="1:14">
      <c r="A13" s="3" t="s">
        <v>188</v>
      </c>
      <c r="B13" s="93"/>
      <c r="C13" s="190">
        <v>120</v>
      </c>
      <c r="D13" s="93"/>
      <c r="E13" s="190"/>
      <c r="F13" s="190"/>
      <c r="G13" s="190"/>
      <c r="H13" s="190"/>
      <c r="I13" s="190"/>
      <c r="J13" s="190"/>
      <c r="K13" s="190"/>
      <c r="L13" s="196"/>
      <c r="M13" s="196"/>
      <c r="N13" s="9">
        <f t="shared" si="0"/>
        <v>120</v>
      </c>
    </row>
    <row r="14" spans="1:14">
      <c r="A14" s="274" t="s">
        <v>197</v>
      </c>
      <c r="B14" s="99"/>
      <c r="C14" s="190"/>
      <c r="D14" s="93">
        <v>500</v>
      </c>
      <c r="E14" s="190"/>
      <c r="F14" s="190"/>
      <c r="G14" s="190"/>
      <c r="H14" s="190"/>
      <c r="I14" s="190"/>
      <c r="J14" s="190"/>
      <c r="K14" s="190"/>
      <c r="L14" s="196"/>
      <c r="M14" s="196"/>
      <c r="N14" s="9">
        <f t="shared" si="0"/>
        <v>500</v>
      </c>
    </row>
    <row r="15" spans="1:14">
      <c r="A15" s="2" t="s">
        <v>209</v>
      </c>
      <c r="B15" s="93"/>
      <c r="C15" s="190"/>
      <c r="D15" s="93">
        <v>19000</v>
      </c>
      <c r="E15" s="190"/>
      <c r="F15" s="190"/>
      <c r="G15" s="190"/>
      <c r="H15" s="190"/>
      <c r="I15" s="190"/>
      <c r="J15" s="190"/>
      <c r="K15" s="190"/>
      <c r="L15" s="196"/>
      <c r="M15" s="196"/>
      <c r="N15" s="9">
        <f t="shared" si="0"/>
        <v>19000</v>
      </c>
    </row>
    <row r="16" spans="1:14">
      <c r="A16" s="3"/>
      <c r="B16" s="93"/>
      <c r="C16" s="190"/>
      <c r="D16" s="93"/>
      <c r="E16" s="190"/>
      <c r="F16" s="190"/>
      <c r="G16" s="190"/>
      <c r="H16" s="190"/>
      <c r="I16" s="190"/>
      <c r="J16" s="190"/>
      <c r="K16" s="190"/>
      <c r="L16" s="196"/>
      <c r="M16" s="196"/>
      <c r="N16" s="9">
        <f t="shared" si="0"/>
        <v>0</v>
      </c>
    </row>
    <row r="17" spans="1:14">
      <c r="A17" s="2"/>
      <c r="B17" s="93"/>
      <c r="C17" s="190"/>
      <c r="D17" s="93"/>
      <c r="E17" s="190"/>
      <c r="F17" s="190"/>
      <c r="G17" s="190"/>
      <c r="H17" s="190"/>
      <c r="I17" s="190"/>
      <c r="J17" s="190"/>
      <c r="K17" s="190"/>
      <c r="L17" s="196"/>
      <c r="M17" s="196"/>
      <c r="N17" s="9">
        <f t="shared" si="0"/>
        <v>0</v>
      </c>
    </row>
    <row r="18" spans="1:14">
      <c r="A18" s="2"/>
      <c r="B18" s="93"/>
      <c r="C18" s="190"/>
      <c r="D18" s="93"/>
      <c r="E18" s="190"/>
      <c r="F18" s="190"/>
      <c r="G18" s="190"/>
      <c r="H18" s="190"/>
      <c r="I18" s="190"/>
      <c r="J18" s="190"/>
      <c r="K18" s="190"/>
      <c r="L18" s="196"/>
      <c r="M18" s="196"/>
      <c r="N18" s="9">
        <f t="shared" si="0"/>
        <v>0</v>
      </c>
    </row>
    <row r="19" spans="1:14">
      <c r="A19" s="3"/>
      <c r="B19" s="93"/>
      <c r="C19" s="190"/>
      <c r="D19" s="93"/>
      <c r="E19" s="190"/>
      <c r="F19" s="190"/>
      <c r="G19" s="190"/>
      <c r="H19" s="190"/>
      <c r="I19" s="190"/>
      <c r="J19" s="190"/>
      <c r="K19" s="190"/>
      <c r="L19" s="196"/>
      <c r="M19" s="196"/>
      <c r="N19" s="9">
        <f t="shared" si="0"/>
        <v>0</v>
      </c>
    </row>
    <row r="20" spans="1:14">
      <c r="A20" s="4"/>
      <c r="B20" s="93"/>
      <c r="C20" s="190"/>
      <c r="D20" s="93"/>
      <c r="E20" s="190"/>
      <c r="F20" s="190"/>
      <c r="G20" s="190"/>
      <c r="H20" s="190"/>
      <c r="I20" s="190"/>
      <c r="J20" s="190"/>
      <c r="K20" s="190"/>
      <c r="L20" s="196"/>
      <c r="M20" s="196"/>
      <c r="N20" s="9">
        <f t="shared" si="0"/>
        <v>0</v>
      </c>
    </row>
    <row r="21" spans="1:14">
      <c r="A21" s="4"/>
      <c r="B21" s="93"/>
      <c r="C21" s="190"/>
      <c r="D21" s="93"/>
      <c r="E21" s="190"/>
      <c r="F21" s="190"/>
      <c r="G21" s="190"/>
      <c r="H21" s="190"/>
      <c r="I21" s="190"/>
      <c r="J21" s="190"/>
      <c r="K21" s="190"/>
      <c r="L21" s="196"/>
      <c r="M21" s="196"/>
      <c r="N21" s="9">
        <f t="shared" si="0"/>
        <v>0</v>
      </c>
    </row>
    <row r="22" spans="1:14">
      <c r="A22" s="4"/>
      <c r="B22" s="93"/>
      <c r="C22" s="190"/>
      <c r="D22" s="93"/>
      <c r="E22" s="190"/>
      <c r="F22" s="190"/>
      <c r="G22" s="190"/>
      <c r="H22" s="190"/>
      <c r="I22" s="190"/>
      <c r="J22" s="190"/>
      <c r="K22" s="190"/>
      <c r="L22" s="196"/>
      <c r="M22" s="196"/>
      <c r="N22" s="9">
        <f t="shared" si="0"/>
        <v>0</v>
      </c>
    </row>
    <row r="23" spans="1:14">
      <c r="A23" s="4"/>
      <c r="B23" s="93"/>
      <c r="C23" s="190"/>
      <c r="D23" s="93"/>
      <c r="E23" s="190"/>
      <c r="F23" s="190"/>
      <c r="G23" s="190"/>
      <c r="H23" s="190"/>
      <c r="I23" s="190"/>
      <c r="J23" s="190"/>
      <c r="K23" s="190"/>
      <c r="L23" s="196"/>
      <c r="M23" s="196"/>
      <c r="N23" s="9">
        <f t="shared" si="0"/>
        <v>0</v>
      </c>
    </row>
    <row r="24" spans="1:14">
      <c r="A24" s="4"/>
      <c r="B24" s="93"/>
      <c r="C24" s="190"/>
      <c r="D24" s="93"/>
      <c r="E24" s="190"/>
      <c r="F24" s="190"/>
      <c r="G24" s="190"/>
      <c r="H24" s="190"/>
      <c r="I24" s="190"/>
      <c r="J24" s="190"/>
      <c r="K24" s="190"/>
      <c r="L24" s="196"/>
      <c r="M24" s="196"/>
      <c r="N24" s="9">
        <f t="shared" si="0"/>
        <v>0</v>
      </c>
    </row>
    <row r="25" spans="1:14">
      <c r="A25" s="4"/>
      <c r="B25" s="93"/>
      <c r="C25" s="190"/>
      <c r="D25" s="93"/>
      <c r="E25" s="190"/>
      <c r="F25" s="190"/>
      <c r="G25" s="190"/>
      <c r="H25" s="190"/>
      <c r="I25" s="190"/>
      <c r="J25" s="190"/>
      <c r="K25" s="190"/>
      <c r="L25" s="196"/>
      <c r="M25" s="196"/>
      <c r="N25" s="9">
        <f t="shared" si="0"/>
        <v>0</v>
      </c>
    </row>
    <row r="26" spans="1:14">
      <c r="A26" s="4"/>
      <c r="B26" s="93"/>
      <c r="C26" s="190"/>
      <c r="D26" s="93"/>
      <c r="E26" s="190"/>
      <c r="F26" s="190"/>
      <c r="G26" s="190"/>
      <c r="H26" s="190"/>
      <c r="I26" s="190"/>
      <c r="J26" s="190"/>
      <c r="K26" s="190"/>
      <c r="L26" s="196"/>
      <c r="M26" s="196"/>
      <c r="N26" s="9">
        <f t="shared" si="0"/>
        <v>0</v>
      </c>
    </row>
    <row r="27" spans="1:14">
      <c r="A27" s="4"/>
      <c r="B27" s="93"/>
      <c r="C27" s="190"/>
      <c r="D27" s="93"/>
      <c r="E27" s="190"/>
      <c r="F27" s="190"/>
      <c r="G27" s="190"/>
      <c r="H27" s="190"/>
      <c r="I27" s="190"/>
      <c r="J27" s="190"/>
      <c r="K27" s="190"/>
      <c r="L27" s="196"/>
      <c r="M27" s="196"/>
      <c r="N27" s="9">
        <f t="shared" si="0"/>
        <v>0</v>
      </c>
    </row>
    <row r="28" spans="1:14">
      <c r="A28" s="4"/>
      <c r="B28" s="93"/>
      <c r="C28" s="190"/>
      <c r="D28" s="93"/>
      <c r="E28" s="190"/>
      <c r="F28" s="190"/>
      <c r="G28" s="190"/>
      <c r="H28" s="190"/>
      <c r="I28" s="190"/>
      <c r="J28" s="190"/>
      <c r="K28" s="190"/>
      <c r="L28" s="196"/>
      <c r="M28" s="196"/>
      <c r="N28" s="9">
        <f t="shared" si="0"/>
        <v>0</v>
      </c>
    </row>
    <row r="29" spans="1:14">
      <c r="A29" s="4"/>
      <c r="B29" s="93"/>
      <c r="C29" s="190"/>
      <c r="D29" s="93"/>
      <c r="E29" s="190"/>
      <c r="F29" s="190"/>
      <c r="G29" s="190"/>
      <c r="H29" s="190"/>
      <c r="I29" s="190"/>
      <c r="J29" s="190"/>
      <c r="K29" s="190"/>
      <c r="L29" s="190"/>
      <c r="M29" s="196"/>
      <c r="N29" s="9">
        <f t="shared" si="0"/>
        <v>0</v>
      </c>
    </row>
    <row r="30" spans="1:14">
      <c r="A30" s="4"/>
      <c r="B30" s="93"/>
      <c r="C30" s="190"/>
      <c r="D30" s="93"/>
      <c r="E30" s="190"/>
      <c r="F30" s="190"/>
      <c r="G30" s="190"/>
      <c r="H30" s="190"/>
      <c r="I30" s="190"/>
      <c r="J30" s="190"/>
      <c r="K30" s="190"/>
      <c r="L30" s="190"/>
      <c r="M30" s="196"/>
      <c r="N30" s="9">
        <f t="shared" si="0"/>
        <v>0</v>
      </c>
    </row>
    <row r="31" spans="1:14">
      <c r="A31" s="4"/>
      <c r="B31" s="93"/>
      <c r="C31" s="190"/>
      <c r="D31" s="93"/>
      <c r="E31" s="190"/>
      <c r="F31" s="190"/>
      <c r="G31" s="190"/>
      <c r="H31" s="190"/>
      <c r="I31" s="190"/>
      <c r="J31" s="190"/>
      <c r="K31" s="190"/>
      <c r="L31" s="196"/>
      <c r="M31" s="196"/>
      <c r="N31" s="9">
        <f t="shared" si="0"/>
        <v>0</v>
      </c>
    </row>
    <row r="32" spans="1:14">
      <c r="A32" s="4"/>
      <c r="B32" s="93"/>
      <c r="C32" s="190"/>
      <c r="D32" s="93"/>
      <c r="E32" s="190"/>
      <c r="F32" s="190"/>
      <c r="G32" s="190"/>
      <c r="H32" s="190"/>
      <c r="I32" s="190"/>
      <c r="J32" s="190"/>
      <c r="K32" s="190"/>
      <c r="L32" s="196"/>
      <c r="M32" s="196"/>
      <c r="N32" s="9">
        <f t="shared" si="0"/>
        <v>0</v>
      </c>
    </row>
    <row r="33" spans="1:14">
      <c r="A33" s="4"/>
      <c r="B33" s="93"/>
      <c r="C33" s="190"/>
      <c r="D33" s="93"/>
      <c r="E33" s="190"/>
      <c r="F33" s="190"/>
      <c r="G33" s="190"/>
      <c r="H33" s="190"/>
      <c r="I33" s="190"/>
      <c r="J33" s="190"/>
      <c r="K33" s="190"/>
      <c r="L33" s="196"/>
      <c r="M33" s="196"/>
      <c r="N33" s="9">
        <f t="shared" si="0"/>
        <v>0</v>
      </c>
    </row>
    <row r="34" spans="1:14">
      <c r="A34" s="4"/>
      <c r="B34" s="93"/>
      <c r="C34" s="190"/>
      <c r="D34" s="93"/>
      <c r="E34" s="190"/>
      <c r="F34" s="190"/>
      <c r="G34" s="190"/>
      <c r="H34" s="190"/>
      <c r="I34" s="190"/>
      <c r="J34" s="190"/>
      <c r="K34" s="190"/>
      <c r="L34" s="196"/>
      <c r="M34" s="196"/>
      <c r="N34" s="9">
        <f t="shared" si="0"/>
        <v>0</v>
      </c>
    </row>
    <row r="35" spans="1:14">
      <c r="A35" s="4"/>
      <c r="B35" s="93"/>
      <c r="C35" s="190"/>
      <c r="D35" s="93"/>
      <c r="E35" s="190"/>
      <c r="F35" s="190"/>
      <c r="G35" s="190"/>
      <c r="H35" s="190"/>
      <c r="I35" s="190"/>
      <c r="J35" s="190"/>
      <c r="K35" s="190"/>
      <c r="L35" s="196"/>
      <c r="M35" s="196"/>
      <c r="N35" s="9">
        <f t="shared" si="0"/>
        <v>0</v>
      </c>
    </row>
    <row r="36" spans="1:14">
      <c r="A36" s="5" t="s">
        <v>14</v>
      </c>
      <c r="B36" s="224">
        <f t="shared" ref="B36:N36" si="1">SUM(B4:B35)</f>
        <v>41127.49</v>
      </c>
      <c r="C36" s="224">
        <f t="shared" si="1"/>
        <v>3920</v>
      </c>
      <c r="D36" s="224">
        <f t="shared" si="1"/>
        <v>35714.97</v>
      </c>
      <c r="E36" s="224">
        <f t="shared" si="1"/>
        <v>0</v>
      </c>
      <c r="F36" s="224">
        <f t="shared" si="1"/>
        <v>0</v>
      </c>
      <c r="G36" s="224">
        <f t="shared" si="1"/>
        <v>0</v>
      </c>
      <c r="H36" s="224">
        <f t="shared" si="1"/>
        <v>0</v>
      </c>
      <c r="I36" s="224">
        <f t="shared" si="1"/>
        <v>0</v>
      </c>
      <c r="J36" s="224">
        <f t="shared" si="1"/>
        <v>0</v>
      </c>
      <c r="K36" s="224">
        <f t="shared" si="1"/>
        <v>0</v>
      </c>
      <c r="L36" s="224">
        <f t="shared" si="1"/>
        <v>0</v>
      </c>
      <c r="M36" s="224">
        <f t="shared" si="1"/>
        <v>0</v>
      </c>
      <c r="N36" s="228">
        <f t="shared" si="1"/>
        <v>80762.459999999992</v>
      </c>
    </row>
    <row r="38" spans="1:14">
      <c r="N38" s="234">
        <f>SUM(B36:M36)-N36</f>
        <v>0</v>
      </c>
    </row>
    <row r="39" spans="1:14">
      <c r="G39" s="192"/>
      <c r="H39" s="192"/>
    </row>
  </sheetData>
  <phoneticPr fontId="31" type="noConversion"/>
  <pageMargins left="0.25" right="0.25" top="0.75" bottom="0.75" header="0.3" footer="0.3"/>
  <pageSetup paperSize="9" scale="9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1" tint="0.34998626667073579"/>
    <pageSetUpPr fitToPage="1"/>
  </sheetPr>
  <dimension ref="A1:N13"/>
  <sheetViews>
    <sheetView workbookViewId="0">
      <selection activeCell="C6" sqref="C6"/>
    </sheetView>
  </sheetViews>
  <sheetFormatPr defaultRowHeight="15"/>
  <cols>
    <col min="1" max="1" width="23.28515625" bestFit="1" customWidth="1"/>
  </cols>
  <sheetData>
    <row r="1" spans="1:14">
      <c r="A1" s="14" t="s">
        <v>89</v>
      </c>
      <c r="B1" s="2"/>
      <c r="C1" s="2"/>
      <c r="D1" s="2"/>
      <c r="E1" s="2"/>
      <c r="F1" s="27"/>
      <c r="G1" s="27" t="str">
        <f ca="1">'ВСЕ затраты в 2020-2021 гг'!C1</f>
        <v>2021-2022гг.</v>
      </c>
      <c r="H1" s="2"/>
      <c r="I1" s="2"/>
      <c r="J1" s="2"/>
      <c r="K1" s="2"/>
      <c r="L1" s="2"/>
      <c r="M1" s="2"/>
      <c r="N1" s="1"/>
    </row>
    <row r="2" spans="1:14">
      <c r="A2" s="1"/>
      <c r="B2" s="22" t="s">
        <v>1</v>
      </c>
      <c r="C2" s="22" t="s">
        <v>2</v>
      </c>
      <c r="D2" s="22" t="s">
        <v>3</v>
      </c>
      <c r="E2" s="23" t="s">
        <v>4</v>
      </c>
      <c r="F2" s="22" t="s">
        <v>5</v>
      </c>
      <c r="G2" s="23" t="s">
        <v>6</v>
      </c>
      <c r="H2" s="22" t="s">
        <v>7</v>
      </c>
      <c r="I2" s="23" t="s">
        <v>8</v>
      </c>
      <c r="J2" s="22" t="s">
        <v>9</v>
      </c>
      <c r="K2" s="22" t="s">
        <v>10</v>
      </c>
      <c r="L2" s="22" t="s">
        <v>11</v>
      </c>
      <c r="M2" s="22" t="s">
        <v>12</v>
      </c>
      <c r="N2" s="22" t="s">
        <v>14</v>
      </c>
    </row>
    <row r="3" spans="1:14">
      <c r="A3" s="2"/>
      <c r="B3" s="29"/>
      <c r="C3" s="29"/>
      <c r="D3" s="29"/>
      <c r="E3" s="28"/>
      <c r="F3" s="29"/>
      <c r="G3" s="28"/>
      <c r="H3" s="29"/>
      <c r="I3" s="28"/>
      <c r="J3" s="29"/>
      <c r="K3" s="29"/>
      <c r="L3" s="29"/>
      <c r="M3" s="29"/>
      <c r="N3" s="29"/>
    </row>
    <row r="4" spans="1:14">
      <c r="A4" s="190"/>
      <c r="B4" s="190">
        <v>317375</v>
      </c>
      <c r="C4" s="190">
        <v>491645</v>
      </c>
      <c r="D4" s="190"/>
      <c r="E4" s="190"/>
      <c r="F4" s="190"/>
      <c r="G4" s="190"/>
      <c r="H4" s="190"/>
      <c r="I4" s="190"/>
      <c r="J4" s="190"/>
      <c r="K4" s="190"/>
      <c r="L4" s="196"/>
      <c r="M4" s="196"/>
      <c r="N4" s="88">
        <f>SUM(B4:M4)</f>
        <v>809020</v>
      </c>
    </row>
    <row r="5" spans="1:14">
      <c r="A5" s="258"/>
      <c r="B5" s="259"/>
      <c r="C5" s="260">
        <v>16000</v>
      </c>
      <c r="D5" s="259"/>
      <c r="E5" s="242"/>
      <c r="F5" s="259"/>
      <c r="G5" s="259"/>
      <c r="H5" s="259"/>
      <c r="I5" s="259"/>
      <c r="J5" s="259"/>
      <c r="K5" s="259"/>
      <c r="L5" s="261"/>
      <c r="M5" s="261"/>
      <c r="N5" s="88">
        <f t="shared" ref="N5:N10" si="0">SUM(B5:M5)</f>
        <v>16000</v>
      </c>
    </row>
    <row r="6" spans="1:14">
      <c r="A6" s="190"/>
      <c r="B6" s="190"/>
      <c r="C6" s="190"/>
      <c r="D6" s="190"/>
      <c r="E6" s="93"/>
      <c r="F6" s="190"/>
      <c r="G6" s="190"/>
      <c r="H6" s="190"/>
      <c r="I6" s="190"/>
      <c r="J6" s="190"/>
      <c r="K6" s="190"/>
      <c r="L6" s="196"/>
      <c r="M6" s="196"/>
      <c r="N6" s="88">
        <f t="shared" si="0"/>
        <v>0</v>
      </c>
    </row>
    <row r="7" spans="1:14">
      <c r="A7" s="190"/>
      <c r="B7" s="190"/>
      <c r="C7" s="190"/>
      <c r="D7" s="190"/>
      <c r="E7" s="93"/>
      <c r="F7" s="190"/>
      <c r="G7" s="190"/>
      <c r="H7" s="190"/>
      <c r="I7" s="190"/>
      <c r="J7" s="190"/>
      <c r="K7" s="190"/>
      <c r="L7" s="196"/>
      <c r="M7" s="196"/>
      <c r="N7" s="88">
        <f t="shared" si="0"/>
        <v>0</v>
      </c>
    </row>
    <row r="8" spans="1:14">
      <c r="A8" s="190"/>
      <c r="B8" s="190"/>
      <c r="C8" s="190"/>
      <c r="D8" s="190"/>
      <c r="E8" s="93"/>
      <c r="F8" s="190"/>
      <c r="G8" s="190"/>
      <c r="H8" s="190"/>
      <c r="I8" s="190"/>
      <c r="J8" s="190"/>
      <c r="K8" s="190"/>
      <c r="L8" s="196"/>
      <c r="M8" s="196"/>
      <c r="N8" s="88">
        <f t="shared" si="0"/>
        <v>0</v>
      </c>
    </row>
    <row r="9" spans="1:14">
      <c r="A9" s="3"/>
      <c r="B9" s="190"/>
      <c r="C9" s="190"/>
      <c r="D9" s="190"/>
      <c r="E9" s="93"/>
      <c r="F9" s="190"/>
      <c r="G9" s="191"/>
      <c r="H9" s="190"/>
      <c r="I9" s="191"/>
      <c r="J9" s="190"/>
      <c r="K9" s="190"/>
      <c r="L9" s="196"/>
      <c r="M9" s="196"/>
      <c r="N9" s="88">
        <f t="shared" si="0"/>
        <v>0</v>
      </c>
    </row>
    <row r="10" spans="1:14">
      <c r="A10" s="1"/>
      <c r="B10" s="16"/>
      <c r="C10" s="16"/>
      <c r="D10" s="16"/>
      <c r="E10" s="16"/>
      <c r="F10" s="16"/>
      <c r="G10" s="15"/>
      <c r="H10" s="16"/>
      <c r="I10" s="15"/>
      <c r="J10" s="16"/>
      <c r="K10" s="16"/>
      <c r="L10" s="12"/>
      <c r="M10" s="12"/>
      <c r="N10" s="88">
        <f t="shared" si="0"/>
        <v>0</v>
      </c>
    </row>
    <row r="11" spans="1:14">
      <c r="A11" s="5" t="s">
        <v>14</v>
      </c>
      <c r="B11" s="227">
        <f t="shared" ref="B11:M11" si="1">SUM(B4:B10)</f>
        <v>317375</v>
      </c>
      <c r="C11" s="227">
        <f t="shared" si="1"/>
        <v>507645</v>
      </c>
      <c r="D11" s="227">
        <f t="shared" si="1"/>
        <v>0</v>
      </c>
      <c r="E11" s="227">
        <f t="shared" si="1"/>
        <v>0</v>
      </c>
      <c r="F11" s="227">
        <f t="shared" si="1"/>
        <v>0</v>
      </c>
      <c r="G11" s="227">
        <f t="shared" si="1"/>
        <v>0</v>
      </c>
      <c r="H11" s="227">
        <f t="shared" si="1"/>
        <v>0</v>
      </c>
      <c r="I11" s="227">
        <f t="shared" si="1"/>
        <v>0</v>
      </c>
      <c r="J11" s="227">
        <f t="shared" si="1"/>
        <v>0</v>
      </c>
      <c r="K11" s="227">
        <f t="shared" si="1"/>
        <v>0</v>
      </c>
      <c r="L11" s="227">
        <f t="shared" si="1"/>
        <v>0</v>
      </c>
      <c r="M11" s="227">
        <f t="shared" si="1"/>
        <v>0</v>
      </c>
      <c r="N11" s="216">
        <f>SUM(B11:M11)</f>
        <v>825020</v>
      </c>
    </row>
    <row r="13" spans="1:14">
      <c r="N13" s="234">
        <f>SUM(B11:M11)-N11</f>
        <v>0</v>
      </c>
    </row>
  </sheetData>
  <phoneticPr fontId="31" type="noConversion"/>
  <pageMargins left="0.25" right="0.25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N47"/>
  <sheetViews>
    <sheetView workbookViewId="0">
      <selection activeCell="A24" sqref="A24"/>
    </sheetView>
  </sheetViews>
  <sheetFormatPr defaultRowHeight="15"/>
  <cols>
    <col min="1" max="1" width="31.7109375" customWidth="1"/>
    <col min="2" max="2" width="10.28515625" style="30" customWidth="1"/>
    <col min="3" max="3" width="10.5703125" style="30" customWidth="1"/>
    <col min="4" max="4" width="12" style="30" customWidth="1"/>
    <col min="5" max="5" width="10.5703125" style="30" customWidth="1"/>
    <col min="6" max="14" width="9.140625" style="30"/>
  </cols>
  <sheetData>
    <row r="1" spans="1:14">
      <c r="A1" s="14" t="s">
        <v>30</v>
      </c>
      <c r="B1" s="25"/>
      <c r="C1" s="25"/>
      <c r="D1" s="25"/>
      <c r="E1" s="25"/>
      <c r="F1" s="27"/>
      <c r="G1" s="27" t="str">
        <f ca="1">'ВСЕ затраты в 2020-2021 гг'!C1</f>
        <v>2021-2022гг.</v>
      </c>
      <c r="H1" s="25"/>
      <c r="I1" s="25"/>
      <c r="J1" s="25"/>
      <c r="K1" s="25"/>
      <c r="L1" s="25"/>
      <c r="M1" s="25"/>
      <c r="N1" s="24"/>
    </row>
    <row r="2" spans="1:14">
      <c r="A2" s="1"/>
      <c r="B2" s="22" t="s">
        <v>1</v>
      </c>
      <c r="C2" s="22" t="s">
        <v>2</v>
      </c>
      <c r="D2" s="22" t="s">
        <v>3</v>
      </c>
      <c r="E2" s="23" t="s">
        <v>4</v>
      </c>
      <c r="F2" s="22" t="s">
        <v>5</v>
      </c>
      <c r="G2" s="23" t="s">
        <v>6</v>
      </c>
      <c r="H2" s="22" t="s">
        <v>7</v>
      </c>
      <c r="I2" s="23" t="s">
        <v>8</v>
      </c>
      <c r="J2" s="22" t="s">
        <v>9</v>
      </c>
      <c r="K2" s="22" t="s">
        <v>10</v>
      </c>
      <c r="L2" s="22" t="s">
        <v>11</v>
      </c>
      <c r="M2" s="22" t="s">
        <v>12</v>
      </c>
      <c r="N2" s="22"/>
    </row>
    <row r="3" spans="1:14">
      <c r="A3" s="2" t="s">
        <v>31</v>
      </c>
      <c r="B3" s="93">
        <v>1791</v>
      </c>
      <c r="C3" s="93">
        <v>895.6</v>
      </c>
      <c r="D3" s="93">
        <f>4535+5895.5</f>
        <v>10430.5</v>
      </c>
      <c r="E3" s="93">
        <v>1815.2</v>
      </c>
      <c r="F3" s="93"/>
      <c r="G3" s="93"/>
      <c r="H3" s="93"/>
      <c r="I3" s="93"/>
      <c r="J3" s="93"/>
      <c r="K3" s="93"/>
      <c r="L3" s="237"/>
      <c r="M3" s="237"/>
      <c r="N3" s="29">
        <f t="shared" ref="N3:N44" si="0">SUM(B3:M3)</f>
        <v>14932.300000000001</v>
      </c>
    </row>
    <row r="4" spans="1:14">
      <c r="A4" s="2" t="s">
        <v>93</v>
      </c>
      <c r="B4" s="93">
        <v>1979.2</v>
      </c>
      <c r="C4" s="93">
        <f>1976+1998+1987.2+1979.2</f>
        <v>7940.4</v>
      </c>
      <c r="D4" s="93">
        <v>2007.2</v>
      </c>
      <c r="E4" s="93">
        <f>2011.2+2007.2</f>
        <v>4018.4</v>
      </c>
      <c r="F4" s="93"/>
      <c r="G4" s="93"/>
      <c r="H4" s="93"/>
      <c r="I4" s="93"/>
      <c r="J4" s="93"/>
      <c r="K4" s="93"/>
      <c r="L4" s="237"/>
      <c r="M4" s="237"/>
      <c r="N4" s="29">
        <f t="shared" si="0"/>
        <v>15945.2</v>
      </c>
    </row>
    <row r="5" spans="1:14">
      <c r="A5" s="2" t="s">
        <v>96</v>
      </c>
      <c r="B5" s="93"/>
      <c r="C5" s="93">
        <v>9676</v>
      </c>
      <c r="D5" s="93"/>
      <c r="E5" s="93">
        <v>9782.1299999999992</v>
      </c>
      <c r="F5" s="93"/>
      <c r="G5" s="93"/>
      <c r="H5" s="93"/>
      <c r="I5" s="93"/>
      <c r="J5" s="93"/>
      <c r="K5" s="93"/>
      <c r="L5" s="237"/>
      <c r="M5" s="237"/>
      <c r="N5" s="29">
        <f t="shared" si="0"/>
        <v>19458.129999999997</v>
      </c>
    </row>
    <row r="6" spans="1:14">
      <c r="A6" s="215" t="s">
        <v>143</v>
      </c>
      <c r="B6" s="93">
        <v>1110</v>
      </c>
      <c r="C6" s="93"/>
      <c r="D6" s="93"/>
      <c r="E6" s="93"/>
      <c r="F6" s="93"/>
      <c r="G6" s="93"/>
      <c r="H6" s="93"/>
      <c r="I6" s="93"/>
      <c r="J6" s="93"/>
      <c r="K6" s="93"/>
      <c r="L6" s="237"/>
      <c r="M6" s="237"/>
      <c r="N6" s="29">
        <f t="shared" si="0"/>
        <v>1110</v>
      </c>
    </row>
    <row r="7" spans="1:14">
      <c r="A7" s="215" t="s">
        <v>166</v>
      </c>
      <c r="B7" s="93"/>
      <c r="C7" s="93">
        <v>1920</v>
      </c>
      <c r="D7" s="93"/>
      <c r="E7" s="93"/>
      <c r="F7" s="93"/>
      <c r="G7" s="93"/>
      <c r="H7" s="93"/>
      <c r="I7" s="93"/>
      <c r="J7" s="93"/>
      <c r="K7" s="93"/>
      <c r="L7" s="237"/>
      <c r="M7" s="237"/>
      <c r="N7" s="29">
        <f t="shared" si="0"/>
        <v>1920</v>
      </c>
    </row>
    <row r="8" spans="1:14">
      <c r="A8" s="215" t="s">
        <v>176</v>
      </c>
      <c r="B8" s="93"/>
      <c r="C8" s="93">
        <v>3530</v>
      </c>
      <c r="D8" s="93"/>
      <c r="E8" s="93"/>
      <c r="F8" s="93"/>
      <c r="G8" s="93"/>
      <c r="H8" s="93"/>
      <c r="I8" s="93"/>
      <c r="J8" s="93"/>
      <c r="K8" s="93"/>
      <c r="L8" s="237"/>
      <c r="M8" s="237"/>
      <c r="N8" s="29">
        <f t="shared" si="0"/>
        <v>3530</v>
      </c>
    </row>
    <row r="9" spans="1:14">
      <c r="A9" s="215" t="s">
        <v>177</v>
      </c>
      <c r="B9" s="93"/>
      <c r="C9" s="93">
        <v>6530</v>
      </c>
      <c r="D9" s="93"/>
      <c r="E9" s="93"/>
      <c r="F9" s="93"/>
      <c r="G9" s="93"/>
      <c r="H9" s="93"/>
      <c r="I9" s="93"/>
      <c r="J9" s="93"/>
      <c r="K9" s="93"/>
      <c r="L9" s="237"/>
      <c r="M9" s="237"/>
      <c r="N9" s="29">
        <f t="shared" si="0"/>
        <v>6530</v>
      </c>
    </row>
    <row r="10" spans="1:14">
      <c r="A10" s="215" t="s">
        <v>178</v>
      </c>
      <c r="B10" s="93"/>
      <c r="C10" s="93">
        <f>600+600</f>
        <v>1200</v>
      </c>
      <c r="D10" s="93"/>
      <c r="E10" s="93"/>
      <c r="F10" s="93"/>
      <c r="G10" s="93"/>
      <c r="H10" s="93"/>
      <c r="I10" s="93"/>
      <c r="J10" s="93"/>
      <c r="K10" s="93"/>
      <c r="L10" s="237"/>
      <c r="M10" s="237"/>
      <c r="N10" s="29">
        <f t="shared" si="0"/>
        <v>1200</v>
      </c>
    </row>
    <row r="11" spans="1:14">
      <c r="A11" s="215" t="s">
        <v>179</v>
      </c>
      <c r="B11" s="93"/>
      <c r="C11" s="93">
        <v>3467</v>
      </c>
      <c r="D11" s="93"/>
      <c r="E11" s="93"/>
      <c r="F11" s="93"/>
      <c r="G11" s="93"/>
      <c r="H11" s="93"/>
      <c r="I11" s="93"/>
      <c r="J11" s="93"/>
      <c r="K11" s="93"/>
      <c r="L11" s="237"/>
      <c r="M11" s="237"/>
      <c r="N11" s="29">
        <f t="shared" si="0"/>
        <v>3467</v>
      </c>
    </row>
    <row r="12" spans="1:14">
      <c r="A12" s="215" t="s">
        <v>180</v>
      </c>
      <c r="B12" s="93"/>
      <c r="C12" s="93">
        <v>520</v>
      </c>
      <c r="D12" s="93"/>
      <c r="E12" s="93"/>
      <c r="F12" s="93"/>
      <c r="G12" s="93"/>
      <c r="H12" s="93"/>
      <c r="I12" s="93"/>
      <c r="J12" s="93"/>
      <c r="K12" s="93"/>
      <c r="L12" s="237"/>
      <c r="M12" s="237"/>
      <c r="N12" s="29">
        <f t="shared" si="0"/>
        <v>520</v>
      </c>
    </row>
    <row r="13" spans="1:14">
      <c r="A13" s="3" t="s">
        <v>181</v>
      </c>
      <c r="B13" s="93"/>
      <c r="C13" s="93">
        <v>1090</v>
      </c>
      <c r="D13" s="93"/>
      <c r="E13" s="93"/>
      <c r="F13" s="93"/>
      <c r="G13" s="93"/>
      <c r="H13" s="93"/>
      <c r="I13" s="93"/>
      <c r="J13" s="93"/>
      <c r="K13" s="93"/>
      <c r="L13" s="237"/>
      <c r="M13" s="237"/>
      <c r="N13" s="29">
        <f t="shared" si="0"/>
        <v>1090</v>
      </c>
    </row>
    <row r="14" spans="1:14">
      <c r="A14" s="3" t="s">
        <v>182</v>
      </c>
      <c r="B14" s="93"/>
      <c r="C14" s="93">
        <v>240</v>
      </c>
      <c r="D14" s="93"/>
      <c r="E14" s="190"/>
      <c r="F14" s="190"/>
      <c r="G14" s="190"/>
      <c r="H14" s="190"/>
      <c r="I14" s="190"/>
      <c r="J14" s="190"/>
      <c r="K14" s="190"/>
      <c r="L14" s="196"/>
      <c r="M14" s="196"/>
      <c r="N14" s="29">
        <f t="shared" si="0"/>
        <v>240</v>
      </c>
    </row>
    <row r="15" spans="1:14">
      <c r="A15" s="215" t="s">
        <v>192</v>
      </c>
      <c r="B15" s="93"/>
      <c r="C15" s="93"/>
      <c r="D15" s="93">
        <v>18360</v>
      </c>
      <c r="E15" s="93"/>
      <c r="F15" s="93"/>
      <c r="G15" s="93"/>
      <c r="H15" s="93"/>
      <c r="I15" s="93"/>
      <c r="J15" s="93"/>
      <c r="K15" s="93"/>
      <c r="L15" s="237"/>
      <c r="M15" s="237"/>
      <c r="N15" s="29">
        <f t="shared" si="0"/>
        <v>18360</v>
      </c>
    </row>
    <row r="16" spans="1:14">
      <c r="A16" s="215" t="s">
        <v>200</v>
      </c>
      <c r="B16" s="93"/>
      <c r="C16" s="93"/>
      <c r="D16" s="93">
        <v>9060</v>
      </c>
      <c r="E16" s="93"/>
      <c r="F16" s="93"/>
      <c r="G16" s="93"/>
      <c r="H16" s="93"/>
      <c r="I16" s="93"/>
      <c r="J16" s="93"/>
      <c r="K16" s="93"/>
      <c r="L16" s="237"/>
      <c r="M16" s="237"/>
      <c r="N16" s="29">
        <f t="shared" si="0"/>
        <v>9060</v>
      </c>
    </row>
    <row r="17" spans="1:14">
      <c r="A17" s="215" t="s">
        <v>201</v>
      </c>
      <c r="B17" s="93"/>
      <c r="C17" s="93"/>
      <c r="D17" s="93">
        <v>1460</v>
      </c>
      <c r="E17" s="93"/>
      <c r="F17" s="93"/>
      <c r="G17" s="93"/>
      <c r="H17" s="93"/>
      <c r="I17" s="93"/>
      <c r="J17" s="93"/>
      <c r="K17" s="93"/>
      <c r="L17" s="237"/>
      <c r="M17" s="237"/>
      <c r="N17" s="29">
        <f t="shared" si="0"/>
        <v>1460</v>
      </c>
    </row>
    <row r="18" spans="1:14">
      <c r="A18" s="215" t="s">
        <v>215</v>
      </c>
      <c r="B18" s="93"/>
      <c r="C18" s="93"/>
      <c r="D18" s="93"/>
      <c r="E18" s="93">
        <v>20500</v>
      </c>
      <c r="F18" s="93"/>
      <c r="G18" s="93"/>
      <c r="H18" s="93"/>
      <c r="I18" s="93"/>
      <c r="J18" s="93"/>
      <c r="K18" s="93"/>
      <c r="L18" s="237"/>
      <c r="M18" s="237"/>
      <c r="N18" s="29">
        <f t="shared" si="0"/>
        <v>20500</v>
      </c>
    </row>
    <row r="19" spans="1:14">
      <c r="A19" s="215" t="s">
        <v>222</v>
      </c>
      <c r="B19" s="93"/>
      <c r="C19" s="93"/>
      <c r="D19" s="93"/>
      <c r="E19" s="93">
        <v>1250</v>
      </c>
      <c r="F19" s="93"/>
      <c r="G19" s="93"/>
      <c r="H19" s="93"/>
      <c r="I19" s="93"/>
      <c r="J19" s="93"/>
      <c r="K19" s="93"/>
      <c r="L19" s="93"/>
      <c r="M19" s="237"/>
      <c r="N19" s="29">
        <f t="shared" si="0"/>
        <v>1250</v>
      </c>
    </row>
    <row r="20" spans="1:14">
      <c r="A20" s="17" t="s">
        <v>223</v>
      </c>
      <c r="B20" s="93"/>
      <c r="C20" s="93"/>
      <c r="D20" s="93"/>
      <c r="E20" s="93">
        <v>6040</v>
      </c>
      <c r="F20" s="93"/>
      <c r="G20" s="93"/>
      <c r="H20" s="93"/>
      <c r="I20" s="93"/>
      <c r="J20" s="93"/>
      <c r="K20" s="93"/>
      <c r="L20" s="237"/>
      <c r="M20" s="237"/>
      <c r="N20" s="29">
        <f t="shared" si="0"/>
        <v>6040</v>
      </c>
    </row>
    <row r="21" spans="1:14">
      <c r="A21" s="17" t="s">
        <v>224</v>
      </c>
      <c r="B21" s="93"/>
      <c r="C21" s="93"/>
      <c r="D21" s="93"/>
      <c r="E21" s="93">
        <v>25120</v>
      </c>
      <c r="F21" s="93"/>
      <c r="G21" s="93"/>
      <c r="H21" s="93"/>
      <c r="I21" s="93"/>
      <c r="J21" s="93"/>
      <c r="K21" s="93"/>
      <c r="L21" s="237"/>
      <c r="M21" s="237"/>
      <c r="N21" s="29">
        <f t="shared" si="0"/>
        <v>25120</v>
      </c>
    </row>
    <row r="22" spans="1:14">
      <c r="A22" s="17" t="s">
        <v>225</v>
      </c>
      <c r="B22" s="93"/>
      <c r="C22" s="93"/>
      <c r="D22" s="93"/>
      <c r="E22" s="93">
        <v>520</v>
      </c>
      <c r="F22" s="93"/>
      <c r="G22" s="93"/>
      <c r="H22" s="93"/>
      <c r="I22" s="93"/>
      <c r="J22" s="93"/>
      <c r="K22" s="93"/>
      <c r="L22" s="237"/>
      <c r="M22" s="237"/>
      <c r="N22" s="29">
        <f t="shared" si="0"/>
        <v>520</v>
      </c>
    </row>
    <row r="23" spans="1:14">
      <c r="A23" s="17" t="s">
        <v>226</v>
      </c>
      <c r="B23" s="93"/>
      <c r="C23" s="93"/>
      <c r="D23" s="93"/>
      <c r="E23" s="93">
        <v>2610</v>
      </c>
      <c r="F23" s="93"/>
      <c r="G23" s="93"/>
      <c r="H23" s="93"/>
      <c r="I23" s="93"/>
      <c r="J23" s="93"/>
      <c r="K23" s="93"/>
      <c r="L23" s="237"/>
      <c r="M23" s="237"/>
      <c r="N23" s="29">
        <f t="shared" si="0"/>
        <v>2610</v>
      </c>
    </row>
    <row r="24" spans="1:14">
      <c r="A24" s="17"/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237"/>
      <c r="M24" s="237"/>
      <c r="N24" s="29">
        <f t="shared" si="0"/>
        <v>0</v>
      </c>
    </row>
    <row r="25" spans="1:14">
      <c r="A25" s="17"/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237"/>
      <c r="M25" s="237"/>
      <c r="N25" s="29">
        <f t="shared" si="0"/>
        <v>0</v>
      </c>
    </row>
    <row r="26" spans="1:14">
      <c r="A26" s="17"/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237"/>
      <c r="M26" s="237"/>
      <c r="N26" s="29">
        <f t="shared" si="0"/>
        <v>0</v>
      </c>
    </row>
    <row r="27" spans="1:14">
      <c r="A27" s="17"/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237"/>
      <c r="M27" s="237"/>
      <c r="N27" s="29">
        <f t="shared" si="0"/>
        <v>0</v>
      </c>
    </row>
    <row r="28" spans="1:14">
      <c r="A28" s="17"/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237"/>
      <c r="M28" s="237"/>
      <c r="N28" s="29">
        <f t="shared" si="0"/>
        <v>0</v>
      </c>
    </row>
    <row r="29" spans="1:14">
      <c r="A29" s="17"/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237"/>
      <c r="M29" s="237"/>
      <c r="N29" s="29">
        <f t="shared" si="0"/>
        <v>0</v>
      </c>
    </row>
    <row r="30" spans="1:14">
      <c r="A30" s="17"/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237"/>
      <c r="M30" s="237"/>
      <c r="N30" s="29">
        <f t="shared" si="0"/>
        <v>0</v>
      </c>
    </row>
    <row r="31" spans="1:14">
      <c r="A31" s="17"/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237"/>
      <c r="M31" s="237"/>
      <c r="N31" s="29">
        <f t="shared" si="0"/>
        <v>0</v>
      </c>
    </row>
    <row r="32" spans="1:14">
      <c r="A32" s="17"/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237"/>
      <c r="M32" s="237"/>
      <c r="N32" s="29">
        <f t="shared" si="0"/>
        <v>0</v>
      </c>
    </row>
    <row r="33" spans="1:14">
      <c r="A33" s="17"/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237"/>
      <c r="M33" s="237"/>
      <c r="N33" s="29">
        <f t="shared" si="0"/>
        <v>0</v>
      </c>
    </row>
    <row r="34" spans="1:14">
      <c r="A34" s="17"/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237"/>
      <c r="M34" s="237"/>
      <c r="N34" s="29">
        <f t="shared" si="0"/>
        <v>0</v>
      </c>
    </row>
    <row r="35" spans="1:14">
      <c r="A35" s="17"/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237"/>
      <c r="M35" s="237"/>
      <c r="N35" s="29">
        <f>SUM(B35:M35)</f>
        <v>0</v>
      </c>
    </row>
    <row r="36" spans="1:14">
      <c r="A36" s="17"/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237"/>
      <c r="M36" s="237"/>
      <c r="N36" s="29">
        <f t="shared" ref="N36:N43" si="1">SUM(B36:M36)</f>
        <v>0</v>
      </c>
    </row>
    <row r="37" spans="1:14">
      <c r="A37" s="17"/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237"/>
      <c r="M37" s="237"/>
      <c r="N37" s="29">
        <f t="shared" si="1"/>
        <v>0</v>
      </c>
    </row>
    <row r="38" spans="1:14">
      <c r="A38" s="17"/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237"/>
      <c r="M38" s="237"/>
      <c r="N38" s="29">
        <f t="shared" si="1"/>
        <v>0</v>
      </c>
    </row>
    <row r="39" spans="1:14">
      <c r="A39" s="17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237"/>
      <c r="M39" s="237"/>
      <c r="N39" s="29">
        <f t="shared" si="1"/>
        <v>0</v>
      </c>
    </row>
    <row r="40" spans="1:14">
      <c r="A40" s="17"/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237"/>
      <c r="M40" s="237"/>
      <c r="N40" s="29">
        <f t="shared" si="1"/>
        <v>0</v>
      </c>
    </row>
    <row r="41" spans="1:14">
      <c r="A41" s="17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237"/>
      <c r="M41" s="237"/>
      <c r="N41" s="29">
        <f t="shared" si="1"/>
        <v>0</v>
      </c>
    </row>
    <row r="42" spans="1:14">
      <c r="A42" s="17"/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237"/>
      <c r="M42" s="237"/>
      <c r="N42" s="29">
        <f t="shared" si="1"/>
        <v>0</v>
      </c>
    </row>
    <row r="43" spans="1:14">
      <c r="A43" s="17"/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237"/>
      <c r="M43" s="237"/>
      <c r="N43" s="29">
        <f t="shared" si="1"/>
        <v>0</v>
      </c>
    </row>
    <row r="44" spans="1:14">
      <c r="A44" s="17"/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237"/>
      <c r="M44" s="237"/>
      <c r="N44" s="29">
        <f t="shared" si="0"/>
        <v>0</v>
      </c>
    </row>
    <row r="45" spans="1:14">
      <c r="A45" s="5" t="s">
        <v>14</v>
      </c>
      <c r="B45" s="226">
        <f t="shared" ref="B45:N45" si="2">SUM(B3:B44)</f>
        <v>4880.2</v>
      </c>
      <c r="C45" s="226">
        <f t="shared" si="2"/>
        <v>37009</v>
      </c>
      <c r="D45" s="226">
        <f t="shared" si="2"/>
        <v>41317.699999999997</v>
      </c>
      <c r="E45" s="226">
        <f t="shared" si="2"/>
        <v>71655.73</v>
      </c>
      <c r="F45" s="226">
        <f t="shared" si="2"/>
        <v>0</v>
      </c>
      <c r="G45" s="226">
        <f t="shared" si="2"/>
        <v>0</v>
      </c>
      <c r="H45" s="226">
        <f t="shared" si="2"/>
        <v>0</v>
      </c>
      <c r="I45" s="226">
        <f t="shared" si="2"/>
        <v>0</v>
      </c>
      <c r="J45" s="226">
        <f t="shared" si="2"/>
        <v>0</v>
      </c>
      <c r="K45" s="226">
        <f t="shared" si="2"/>
        <v>0</v>
      </c>
      <c r="L45" s="226">
        <f t="shared" si="2"/>
        <v>0</v>
      </c>
      <c r="M45" s="226">
        <f t="shared" si="2"/>
        <v>0</v>
      </c>
      <c r="N45" s="226">
        <f t="shared" si="2"/>
        <v>154862.63</v>
      </c>
    </row>
    <row r="47" spans="1:14">
      <c r="N47" s="234">
        <f>SUM(B45:M45)-N45</f>
        <v>0</v>
      </c>
    </row>
  </sheetData>
  <phoneticPr fontId="31" type="noConversion"/>
  <pageMargins left="0.25" right="0.25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2060"/>
    <pageSetUpPr fitToPage="1"/>
  </sheetPr>
  <dimension ref="A1:Z68"/>
  <sheetViews>
    <sheetView tabSelected="1" topLeftCell="A7" zoomScaleNormal="90" zoomScaleSheetLayoutView="102" workbookViewId="0">
      <selection activeCell="V27" sqref="V27"/>
    </sheetView>
  </sheetViews>
  <sheetFormatPr defaultRowHeight="15"/>
  <cols>
    <col min="4" max="4" width="9.85546875" bestFit="1" customWidth="1"/>
    <col min="5" max="5" width="3.28515625" customWidth="1"/>
    <col min="6" max="6" width="14.42578125" style="30" bestFit="1" customWidth="1"/>
    <col min="7" max="7" width="10.85546875" style="30" customWidth="1"/>
    <col min="8" max="10" width="10.140625" style="30" bestFit="1" customWidth="1"/>
    <col min="11" max="11" width="10.140625" bestFit="1" customWidth="1"/>
    <col min="12" max="12" width="8.28515625" hidden="1" customWidth="1"/>
    <col min="13" max="13" width="7.5703125" hidden="1" customWidth="1"/>
    <col min="14" max="14" width="8.7109375" hidden="1" customWidth="1"/>
    <col min="15" max="15" width="7.28515625" hidden="1" customWidth="1"/>
    <col min="16" max="16" width="8.85546875" hidden="1" customWidth="1"/>
    <col min="17" max="17" width="5.5703125" hidden="1" customWidth="1"/>
    <col min="18" max="18" width="7.5703125" hidden="1" customWidth="1"/>
    <col min="19" max="19" width="4.7109375" hidden="1" customWidth="1"/>
    <col min="20" max="20" width="11.28515625" style="30" bestFit="1" customWidth="1"/>
    <col min="21" max="21" width="13.42578125" style="30" bestFit="1" customWidth="1"/>
    <col min="22" max="22" width="16.140625" style="30" customWidth="1"/>
    <col min="23" max="23" width="15.5703125" bestFit="1" customWidth="1"/>
  </cols>
  <sheetData>
    <row r="1" spans="1:23" ht="18" customHeight="1">
      <c r="A1" s="164" t="s">
        <v>106</v>
      </c>
      <c r="B1" s="164"/>
      <c r="C1" s="164" t="s">
        <v>157</v>
      </c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</row>
    <row r="2" spans="1:23" ht="21" customHeight="1">
      <c r="A2" s="283" t="s">
        <v>214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163"/>
      <c r="Q2" s="163"/>
      <c r="R2" s="163"/>
      <c r="S2" s="163"/>
      <c r="T2" s="163"/>
      <c r="U2" s="30">
        <v>4</v>
      </c>
    </row>
    <row r="3" spans="1:23" ht="37.5" customHeight="1">
      <c r="A3" s="343" t="s">
        <v>65</v>
      </c>
      <c r="B3" s="344"/>
      <c r="C3" s="344"/>
      <c r="D3" s="344"/>
      <c r="E3" s="345"/>
      <c r="F3" s="334" t="s">
        <v>80</v>
      </c>
      <c r="G3" s="334" t="s">
        <v>87</v>
      </c>
      <c r="H3" s="347" t="s">
        <v>1</v>
      </c>
      <c r="I3" s="347" t="s">
        <v>2</v>
      </c>
      <c r="J3" s="347" t="s">
        <v>3</v>
      </c>
      <c r="K3" s="347" t="s">
        <v>4</v>
      </c>
      <c r="L3" s="347" t="s">
        <v>5</v>
      </c>
      <c r="M3" s="347" t="s">
        <v>6</v>
      </c>
      <c r="N3" s="347" t="s">
        <v>7</v>
      </c>
      <c r="O3" s="347" t="s">
        <v>8</v>
      </c>
      <c r="P3" s="347" t="s">
        <v>9</v>
      </c>
      <c r="Q3" s="347" t="s">
        <v>10</v>
      </c>
      <c r="R3" s="347" t="s">
        <v>11</v>
      </c>
      <c r="S3" s="347" t="s">
        <v>12</v>
      </c>
      <c r="T3" s="334" t="str">
        <f>CONCATENATE("Итого за ",U2," мес.")</f>
        <v>Итого за 4 мес.</v>
      </c>
      <c r="U3" s="334" t="str">
        <f>CONCATENATE("Бюджет          за ",U2," мес.")</f>
        <v>Бюджет          за 4 мес.</v>
      </c>
      <c r="V3" s="336" t="s">
        <v>71</v>
      </c>
    </row>
    <row r="4" spans="1:23" ht="15" customHeight="1">
      <c r="A4" s="40"/>
      <c r="B4" s="41"/>
      <c r="C4" s="41"/>
      <c r="D4" s="41"/>
      <c r="E4" s="41"/>
      <c r="F4" s="346"/>
      <c r="G4" s="346"/>
      <c r="H4" s="348"/>
      <c r="I4" s="348"/>
      <c r="J4" s="348"/>
      <c r="K4" s="348"/>
      <c r="L4" s="348" t="s">
        <v>5</v>
      </c>
      <c r="M4" s="348" t="s">
        <v>6</v>
      </c>
      <c r="N4" s="348" t="s">
        <v>7</v>
      </c>
      <c r="O4" s="348" t="s">
        <v>8</v>
      </c>
      <c r="P4" s="348" t="s">
        <v>9</v>
      </c>
      <c r="Q4" s="348" t="s">
        <v>10</v>
      </c>
      <c r="R4" s="348" t="s">
        <v>11</v>
      </c>
      <c r="S4" s="348" t="s">
        <v>12</v>
      </c>
      <c r="T4" s="346"/>
      <c r="U4" s="335"/>
      <c r="V4" s="337"/>
    </row>
    <row r="5" spans="1:23" ht="15" customHeight="1">
      <c r="A5" s="314" t="s">
        <v>117</v>
      </c>
      <c r="B5" s="164"/>
      <c r="C5" s="164"/>
      <c r="D5" s="164"/>
      <c r="E5" s="164"/>
      <c r="F5" s="110">
        <v>2400000</v>
      </c>
      <c r="G5" s="321"/>
      <c r="H5" s="322"/>
      <c r="I5" s="322"/>
      <c r="J5" s="322"/>
      <c r="K5" s="322"/>
      <c r="L5" s="322"/>
      <c r="M5" s="322"/>
      <c r="N5" s="322"/>
      <c r="O5" s="322"/>
      <c r="P5" s="322"/>
      <c r="Q5" s="322"/>
      <c r="R5" s="322"/>
      <c r="S5" s="322"/>
      <c r="T5" s="321"/>
      <c r="U5" s="323"/>
      <c r="V5" s="320"/>
    </row>
    <row r="6" spans="1:23" ht="15.75">
      <c r="A6" s="314" t="s">
        <v>76</v>
      </c>
      <c r="B6" s="315"/>
      <c r="C6" s="315"/>
      <c r="D6" s="315"/>
      <c r="E6" s="315"/>
      <c r="F6" s="110">
        <v>33287500</v>
      </c>
      <c r="G6" s="111">
        <f>F6/12</f>
        <v>2773958.3333333335</v>
      </c>
      <c r="H6" s="113">
        <f>326+2935259</f>
        <v>2935585</v>
      </c>
      <c r="I6" s="113">
        <f>326+3240206.36</f>
        <v>3240532.36</v>
      </c>
      <c r="J6" s="113">
        <f>326+2688308.03-52635</f>
        <v>2635999.0299999998</v>
      </c>
      <c r="K6" s="112">
        <v>3034759.16</v>
      </c>
      <c r="L6" s="201"/>
      <c r="M6" s="175"/>
      <c r="N6" s="175"/>
      <c r="O6" s="113"/>
      <c r="P6" s="235"/>
      <c r="Q6" s="113"/>
      <c r="R6" s="113"/>
      <c r="S6" s="235"/>
      <c r="T6" s="116">
        <f>SUM(H6:S6)</f>
        <v>11846875.549999999</v>
      </c>
      <c r="U6" s="117">
        <f>G6*U2</f>
        <v>11095833.333333334</v>
      </c>
      <c r="V6" s="149">
        <f>T6-U6</f>
        <v>751042.21666666493</v>
      </c>
    </row>
    <row r="7" spans="1:23" ht="15.75">
      <c r="A7" s="314" t="s">
        <v>74</v>
      </c>
      <c r="B7" s="315"/>
      <c r="C7" s="315"/>
      <c r="D7" s="315"/>
      <c r="E7" s="318"/>
      <c r="F7" s="365">
        <v>450000</v>
      </c>
      <c r="G7" s="367">
        <f>F7/12</f>
        <v>37500</v>
      </c>
      <c r="H7" s="113">
        <v>87650</v>
      </c>
      <c r="I7" s="113">
        <v>122500</v>
      </c>
      <c r="J7" s="113">
        <v>169800</v>
      </c>
      <c r="K7" s="112">
        <v>72550</v>
      </c>
      <c r="L7" s="201"/>
      <c r="M7" s="175"/>
      <c r="N7" s="113"/>
      <c r="O7" s="113"/>
      <c r="P7" s="113"/>
      <c r="Q7" s="113"/>
      <c r="R7" s="113"/>
      <c r="S7" s="235"/>
      <c r="T7" s="116">
        <f>SUM(H7:S7)</f>
        <v>452500</v>
      </c>
      <c r="U7" s="374">
        <f>G7*U2</f>
        <v>150000</v>
      </c>
      <c r="V7" s="372">
        <f>T7-U7+T8</f>
        <v>324735.21999999997</v>
      </c>
    </row>
    <row r="8" spans="1:23" ht="15.75">
      <c r="A8" s="316" t="s">
        <v>94</v>
      </c>
      <c r="B8" s="317"/>
      <c r="C8" s="317"/>
      <c r="D8" s="317"/>
      <c r="E8" s="319"/>
      <c r="F8" s="366"/>
      <c r="G8" s="368"/>
      <c r="H8" s="121">
        <v>14625.76</v>
      </c>
      <c r="I8" s="121">
        <v>6203.84</v>
      </c>
      <c r="J8" s="121">
        <v>1405.62</v>
      </c>
      <c r="K8" s="114"/>
      <c r="L8" s="232"/>
      <c r="M8" s="232"/>
      <c r="N8" s="233"/>
      <c r="O8" s="232"/>
      <c r="P8" s="232"/>
      <c r="Q8" s="232"/>
      <c r="R8" s="232"/>
      <c r="S8" s="256"/>
      <c r="T8" s="116">
        <f>SUM(H8:S8)</f>
        <v>22235.219999999998</v>
      </c>
      <c r="U8" s="375"/>
      <c r="V8" s="373"/>
    </row>
    <row r="9" spans="1:23" ht="16.5" thickBot="1">
      <c r="A9" s="107" t="s">
        <v>118</v>
      </c>
      <c r="B9" s="108"/>
      <c r="C9" s="109"/>
      <c r="D9" s="109"/>
      <c r="E9" s="109"/>
      <c r="F9" s="138">
        <v>540000</v>
      </c>
      <c r="G9" s="139">
        <f>F9/12</f>
        <v>45000</v>
      </c>
      <c r="H9" s="124">
        <f>20000+15000+2250</f>
        <v>37250</v>
      </c>
      <c r="I9" s="124">
        <f>20000+21000</f>
        <v>41000</v>
      </c>
      <c r="J9" s="124">
        <f>20000+18000+4500+96300</f>
        <v>138800</v>
      </c>
      <c r="K9" s="124">
        <f>40000+18000+2250</f>
        <v>60250</v>
      </c>
      <c r="L9" s="124"/>
      <c r="M9" s="124"/>
      <c r="N9" s="124"/>
      <c r="O9" s="124"/>
      <c r="P9" s="124"/>
      <c r="Q9" s="124"/>
      <c r="R9" s="124"/>
      <c r="S9" s="125"/>
      <c r="T9" s="129">
        <f>SUM(H9:S9)</f>
        <v>277300</v>
      </c>
      <c r="U9" s="144">
        <f>G9*U2</f>
        <v>180000</v>
      </c>
      <c r="V9" s="152">
        <f>T9-U9</f>
        <v>97300</v>
      </c>
    </row>
    <row r="10" spans="1:23" ht="15.75">
      <c r="A10" s="338" t="s">
        <v>66</v>
      </c>
      <c r="B10" s="339"/>
      <c r="C10" s="339"/>
      <c r="D10" s="339"/>
      <c r="E10" s="340"/>
      <c r="F10" s="103">
        <f t="shared" ref="F10:S10" si="0">SUM(F6:F9)</f>
        <v>34277500</v>
      </c>
      <c r="G10" s="104">
        <f t="shared" si="0"/>
        <v>2856458.3333333335</v>
      </c>
      <c r="H10" s="101">
        <f t="shared" si="0"/>
        <v>3075110.76</v>
      </c>
      <c r="I10" s="101">
        <f t="shared" si="0"/>
        <v>3410236.1999999997</v>
      </c>
      <c r="J10" s="101">
        <f t="shared" si="0"/>
        <v>2946004.65</v>
      </c>
      <c r="K10" s="101">
        <f t="shared" si="0"/>
        <v>3167559.16</v>
      </c>
      <c r="L10" s="101">
        <f t="shared" si="0"/>
        <v>0</v>
      </c>
      <c r="M10" s="101">
        <f t="shared" si="0"/>
        <v>0</v>
      </c>
      <c r="N10" s="101">
        <f t="shared" si="0"/>
        <v>0</v>
      </c>
      <c r="O10" s="101">
        <f t="shared" si="0"/>
        <v>0</v>
      </c>
      <c r="P10" s="101">
        <f t="shared" si="0"/>
        <v>0</v>
      </c>
      <c r="Q10" s="101">
        <f t="shared" si="0"/>
        <v>0</v>
      </c>
      <c r="R10" s="101">
        <f t="shared" si="0"/>
        <v>0</v>
      </c>
      <c r="S10" s="101">
        <f t="shared" si="0"/>
        <v>0</v>
      </c>
      <c r="T10" s="132">
        <f>SUM(H10:S10)</f>
        <v>12598910.77</v>
      </c>
      <c r="U10" s="117">
        <f>SUM(U6:U9)</f>
        <v>11425833.333333334</v>
      </c>
      <c r="V10" s="153">
        <f>T10-U10</f>
        <v>1173077.4366666656</v>
      </c>
      <c r="W10" s="257"/>
    </row>
    <row r="11" spans="1:23" ht="33" customHeight="1">
      <c r="A11" s="341" t="s">
        <v>64</v>
      </c>
      <c r="B11" s="342"/>
      <c r="C11" s="342"/>
      <c r="D11" s="342"/>
      <c r="E11" s="342"/>
      <c r="F11" s="133"/>
      <c r="G11" s="133"/>
      <c r="H11" s="133"/>
      <c r="I11" s="133"/>
      <c r="J11" s="133"/>
      <c r="K11" s="77"/>
      <c r="L11" s="173"/>
      <c r="M11" s="173"/>
      <c r="N11" s="77"/>
      <c r="O11" s="77"/>
      <c r="P11" s="77"/>
      <c r="Q11" s="77"/>
      <c r="R11" s="77"/>
      <c r="S11" s="77"/>
      <c r="T11" s="145"/>
      <c r="U11" s="135"/>
      <c r="V11" s="146" t="s">
        <v>72</v>
      </c>
    </row>
    <row r="12" spans="1:23" ht="15.75">
      <c r="A12" s="59" t="s">
        <v>0</v>
      </c>
      <c r="B12" s="46"/>
      <c r="C12" s="46"/>
      <c r="D12" s="46"/>
      <c r="E12" s="46"/>
      <c r="F12" s="110">
        <v>700000</v>
      </c>
      <c r="G12" s="111">
        <f>F12/12</f>
        <v>58333.333333333336</v>
      </c>
      <c r="H12" s="136">
        <f ca="1">'общехоз расходы'!B73</f>
        <v>56778.21</v>
      </c>
      <c r="I12" s="136">
        <f ca="1">'общехоз расходы'!C73</f>
        <v>49870.3</v>
      </c>
      <c r="J12" s="136">
        <f ca="1">'общехоз расходы'!D73</f>
        <v>35441.550000000003</v>
      </c>
      <c r="K12" s="136">
        <f ca="1">'общехоз расходы'!E73</f>
        <v>45274.539999999994</v>
      </c>
      <c r="L12" s="136">
        <f ca="1">'общехоз расходы'!F73</f>
        <v>0</v>
      </c>
      <c r="M12" s="136">
        <f ca="1">'общехоз расходы'!G73</f>
        <v>0</v>
      </c>
      <c r="N12" s="136">
        <f ca="1">'общехоз расходы'!H73</f>
        <v>0</v>
      </c>
      <c r="O12" s="136">
        <f ca="1">'общехоз расходы'!I73</f>
        <v>0</v>
      </c>
      <c r="P12" s="136">
        <f ca="1">'общехоз расходы'!J73</f>
        <v>0</v>
      </c>
      <c r="Q12" s="136">
        <f ca="1">'общехоз расходы'!K73</f>
        <v>0</v>
      </c>
      <c r="R12" s="136">
        <f ca="1">'общехоз расходы'!L73</f>
        <v>0</v>
      </c>
      <c r="S12" s="136">
        <f ca="1">'общехоз расходы'!M73</f>
        <v>0</v>
      </c>
      <c r="T12" s="116">
        <f>SUM(H12:S12)</f>
        <v>187364.59999999998</v>
      </c>
      <c r="U12" s="117">
        <f t="shared" ref="U12:U26" si="1">G12*$U$2</f>
        <v>233333.33333333334</v>
      </c>
      <c r="V12" s="147">
        <f>U12-T12</f>
        <v>45968.733333333366</v>
      </c>
    </row>
    <row r="13" spans="1:23" ht="15.75">
      <c r="A13" s="63" t="s">
        <v>15</v>
      </c>
      <c r="B13" s="41"/>
      <c r="C13" s="41"/>
      <c r="D13" s="41"/>
      <c r="E13" s="41"/>
      <c r="F13" s="103">
        <v>30000</v>
      </c>
      <c r="G13" s="111">
        <f t="shared" ref="G13:G25" si="2">F13/12</f>
        <v>2500</v>
      </c>
      <c r="H13" s="137">
        <f ca="1">'программ обеспечение'!B10</f>
        <v>10694</v>
      </c>
      <c r="I13" s="137">
        <f ca="1">'программ обеспечение'!C10</f>
        <v>0</v>
      </c>
      <c r="J13" s="137">
        <f ca="1">'программ обеспечение'!D10</f>
        <v>18516</v>
      </c>
      <c r="K13" s="137">
        <f ca="1">'программ обеспечение'!E10</f>
        <v>8400</v>
      </c>
      <c r="L13" s="137">
        <f ca="1">'программ обеспечение'!F10</f>
        <v>0</v>
      </c>
      <c r="M13" s="137">
        <f ca="1">'программ обеспечение'!G10</f>
        <v>0</v>
      </c>
      <c r="N13" s="136">
        <f ca="1">'программ обеспечение'!H10</f>
        <v>0</v>
      </c>
      <c r="O13" s="136">
        <f ca="1">'программ обеспечение'!I10</f>
        <v>0</v>
      </c>
      <c r="P13" s="136">
        <f ca="1">'программ обеспечение'!J10</f>
        <v>0</v>
      </c>
      <c r="Q13" s="136">
        <f ca="1">'программ обеспечение'!K10</f>
        <v>0</v>
      </c>
      <c r="R13" s="136">
        <f ca="1">'программ обеспечение'!L10</f>
        <v>0</v>
      </c>
      <c r="S13" s="136">
        <f ca="1">'программ обеспечение'!M10</f>
        <v>0</v>
      </c>
      <c r="T13" s="116">
        <f t="shared" ref="T13:T30" si="3">SUM(H13:S13)</f>
        <v>37610</v>
      </c>
      <c r="U13" s="117">
        <f t="shared" si="1"/>
        <v>10000</v>
      </c>
      <c r="V13" s="147">
        <f t="shared" ref="V13:V25" si="4">U13-T13</f>
        <v>-27610</v>
      </c>
    </row>
    <row r="14" spans="1:23" ht="15.75">
      <c r="A14" s="59" t="s">
        <v>16</v>
      </c>
      <c r="B14" s="46"/>
      <c r="C14" s="46"/>
      <c r="D14" s="46"/>
      <c r="E14" s="69"/>
      <c r="F14" s="110">
        <v>100000</v>
      </c>
      <c r="G14" s="111">
        <f t="shared" si="2"/>
        <v>8333.3333333333339</v>
      </c>
      <c r="H14" s="136">
        <f ca="1">'услуги связи'!B6</f>
        <v>7000</v>
      </c>
      <c r="I14" s="136">
        <f ca="1">'услуги связи'!C6</f>
        <v>12195.7</v>
      </c>
      <c r="J14" s="136">
        <f ca="1">'услуги связи'!D6</f>
        <v>12000</v>
      </c>
      <c r="K14" s="136">
        <f ca="1">'услуги связи'!E6</f>
        <v>12000</v>
      </c>
      <c r="L14" s="136">
        <f ca="1">'услуги связи'!F6</f>
        <v>0</v>
      </c>
      <c r="M14" s="136">
        <f ca="1">'услуги связи'!G6</f>
        <v>0</v>
      </c>
      <c r="N14" s="136">
        <f ca="1">'услуги связи'!H6</f>
        <v>0</v>
      </c>
      <c r="O14" s="136">
        <f ca="1">'услуги связи'!I6</f>
        <v>0</v>
      </c>
      <c r="P14" s="136">
        <f ca="1">'услуги связи'!J6</f>
        <v>0</v>
      </c>
      <c r="Q14" s="136">
        <f ca="1">'услуги связи'!K6</f>
        <v>0</v>
      </c>
      <c r="R14" s="136">
        <f ca="1">'услуги связи'!L6</f>
        <v>0</v>
      </c>
      <c r="S14" s="136">
        <f ca="1">'услуги связи'!M6</f>
        <v>0</v>
      </c>
      <c r="T14" s="116">
        <f t="shared" si="3"/>
        <v>43195.7</v>
      </c>
      <c r="U14" s="117">
        <f t="shared" si="1"/>
        <v>33333.333333333336</v>
      </c>
      <c r="V14" s="147">
        <f t="shared" si="4"/>
        <v>-9862.3666666666613</v>
      </c>
    </row>
    <row r="15" spans="1:23" ht="15.75">
      <c r="A15" s="63" t="s">
        <v>116</v>
      </c>
      <c r="B15" s="41"/>
      <c r="C15" s="41"/>
      <c r="D15" s="41"/>
      <c r="E15" s="70"/>
      <c r="F15" s="103">
        <v>7800000</v>
      </c>
      <c r="G15" s="111">
        <f t="shared" si="2"/>
        <v>650000</v>
      </c>
      <c r="H15" s="137">
        <f ca="1">'з пл'!B6</f>
        <v>593046.91</v>
      </c>
      <c r="I15" s="137">
        <f ca="1">'з пл'!C6</f>
        <v>627438.10000000009</v>
      </c>
      <c r="J15" s="137">
        <f ca="1">'з пл'!D6</f>
        <v>505355.94</v>
      </c>
      <c r="K15" s="137">
        <f ca="1">'з пл'!E6</f>
        <v>665331.75000000012</v>
      </c>
      <c r="L15" s="202">
        <f ca="1">'з пл'!F6</f>
        <v>0</v>
      </c>
      <c r="M15" s="137">
        <f ca="1">'з пл'!G6</f>
        <v>0</v>
      </c>
      <c r="N15" s="136">
        <f ca="1">'з пл'!H6</f>
        <v>0</v>
      </c>
      <c r="O15" s="136">
        <f ca="1">'з пл'!I6</f>
        <v>0</v>
      </c>
      <c r="P15" s="136">
        <f ca="1">'з пл'!J6</f>
        <v>0</v>
      </c>
      <c r="Q15" s="136">
        <f ca="1">'з пл'!K6</f>
        <v>0</v>
      </c>
      <c r="R15" s="136">
        <f ca="1">'з пл'!L6</f>
        <v>0</v>
      </c>
      <c r="S15" s="136">
        <f ca="1">'з пл'!M6</f>
        <v>0</v>
      </c>
      <c r="T15" s="116">
        <f>SUM(H15:S15)</f>
        <v>2391172.7000000002</v>
      </c>
      <c r="U15" s="117">
        <f t="shared" si="1"/>
        <v>2600000</v>
      </c>
      <c r="V15" s="147">
        <f t="shared" si="4"/>
        <v>208827.29999999981</v>
      </c>
    </row>
    <row r="16" spans="1:23" ht="15.75">
      <c r="A16" s="63" t="s">
        <v>19</v>
      </c>
      <c r="B16" s="41"/>
      <c r="C16" s="41"/>
      <c r="D16" s="41"/>
      <c r="E16" s="41"/>
      <c r="F16" s="103">
        <v>550000</v>
      </c>
      <c r="G16" s="111">
        <f t="shared" si="2"/>
        <v>45833.333333333336</v>
      </c>
      <c r="H16" s="137">
        <f ca="1">'премиальный фонд'!B5</f>
        <v>41513.65</v>
      </c>
      <c r="I16" s="137">
        <f ca="1">'премиальный фонд'!C5</f>
        <v>20663.099999999999</v>
      </c>
      <c r="J16" s="137">
        <f ca="1">'премиальный фонд'!D5</f>
        <v>0</v>
      </c>
      <c r="K16" s="137">
        <f ca="1">'премиальный фонд'!E5</f>
        <v>31859.23</v>
      </c>
      <c r="L16" s="202">
        <f ca="1">'премиальный фонд'!F5</f>
        <v>0</v>
      </c>
      <c r="M16" s="137">
        <f ca="1">'премиальный фонд'!G5</f>
        <v>0</v>
      </c>
      <c r="N16" s="137">
        <f ca="1">'премиальный фонд'!H5</f>
        <v>0</v>
      </c>
      <c r="O16" s="137">
        <f ca="1">'премиальный фонд'!I5</f>
        <v>0</v>
      </c>
      <c r="P16" s="137">
        <f ca="1">'премиальный фонд'!J5</f>
        <v>0</v>
      </c>
      <c r="Q16" s="137">
        <f ca="1">'премиальный фонд'!K5</f>
        <v>0</v>
      </c>
      <c r="R16" s="136">
        <f ca="1">'премиальный фонд'!L5</f>
        <v>0</v>
      </c>
      <c r="S16" s="136">
        <f ca="1">'премиальный фонд'!M5</f>
        <v>0</v>
      </c>
      <c r="T16" s="116">
        <f t="shared" si="3"/>
        <v>94035.98</v>
      </c>
      <c r="U16" s="117">
        <f t="shared" si="1"/>
        <v>183333.33333333334</v>
      </c>
      <c r="V16" s="147">
        <f t="shared" si="4"/>
        <v>89297.353333333347</v>
      </c>
    </row>
    <row r="17" spans="1:26" ht="15.75">
      <c r="A17" s="63" t="s">
        <v>20</v>
      </c>
      <c r="B17" s="41"/>
      <c r="C17" s="41"/>
      <c r="D17" s="41"/>
      <c r="E17" s="41"/>
      <c r="F17" s="103">
        <v>2500000</v>
      </c>
      <c r="G17" s="111">
        <f t="shared" si="2"/>
        <v>208333.33333333334</v>
      </c>
      <c r="H17" s="137">
        <f ca="1">'налог с ФОТ'!B6</f>
        <v>203081.56</v>
      </c>
      <c r="I17" s="137">
        <f ca="1">'налог с ФОТ'!C6</f>
        <v>196705.94</v>
      </c>
      <c r="J17" s="137">
        <f ca="1">'налог с ФОТ'!D6</f>
        <v>150408.94</v>
      </c>
      <c r="K17" s="137">
        <f ca="1">'налог с ФОТ'!E6</f>
        <v>185680.2</v>
      </c>
      <c r="L17" s="202">
        <f ca="1">'налог с ФОТ'!F6</f>
        <v>0</v>
      </c>
      <c r="M17" s="202">
        <f ca="1">'налог с ФОТ'!G6</f>
        <v>0</v>
      </c>
      <c r="N17" s="137">
        <f ca="1">'налог с ФОТ'!H6</f>
        <v>0</v>
      </c>
      <c r="O17" s="137">
        <f ca="1">'налог с ФОТ'!I6</f>
        <v>0</v>
      </c>
      <c r="P17" s="137">
        <f ca="1">'налог с ФОТ'!J6</f>
        <v>0</v>
      </c>
      <c r="Q17" s="137">
        <f ca="1">'налог с ФОТ'!K6</f>
        <v>0</v>
      </c>
      <c r="R17" s="136">
        <f ca="1">'налог с ФОТ'!L6</f>
        <v>0</v>
      </c>
      <c r="S17" s="136">
        <f ca="1">'налог с ФОТ'!M6</f>
        <v>0</v>
      </c>
      <c r="T17" s="116">
        <f t="shared" si="3"/>
        <v>735876.6399999999</v>
      </c>
      <c r="U17" s="117">
        <f t="shared" si="1"/>
        <v>833333.33333333337</v>
      </c>
      <c r="V17" s="147">
        <f t="shared" si="4"/>
        <v>97456.693333333475</v>
      </c>
    </row>
    <row r="18" spans="1:26" ht="15.75">
      <c r="A18" s="63" t="s">
        <v>77</v>
      </c>
      <c r="B18" s="41"/>
      <c r="C18" s="41"/>
      <c r="D18" s="41"/>
      <c r="E18" s="41"/>
      <c r="F18" s="103">
        <v>150000</v>
      </c>
      <c r="G18" s="111">
        <f t="shared" si="2"/>
        <v>12500</v>
      </c>
      <c r="H18" s="137">
        <f ca="1">'приобрт инвентаря и оборуд'!B24</f>
        <v>14800</v>
      </c>
      <c r="I18" s="137">
        <f ca="1">'приобрт инвентаря и оборуд'!C24</f>
        <v>785</v>
      </c>
      <c r="J18" s="137">
        <f ca="1">'приобрт инвентаря и оборуд'!D24</f>
        <v>19614</v>
      </c>
      <c r="K18" s="137">
        <f ca="1">'приобрт инвентаря и оборуд'!E24</f>
        <v>2770</v>
      </c>
      <c r="L18" s="137">
        <f ca="1">'приобрт инвентаря и оборуд'!F24</f>
        <v>0</v>
      </c>
      <c r="M18" s="137">
        <f ca="1">'приобрт инвентаря и оборуд'!G24</f>
        <v>0</v>
      </c>
      <c r="N18" s="137">
        <f ca="1">'приобрт инвентаря и оборуд'!H24</f>
        <v>0</v>
      </c>
      <c r="O18" s="137">
        <f ca="1">'приобрт инвентаря и оборуд'!I24</f>
        <v>0</v>
      </c>
      <c r="P18" s="137">
        <f ca="1">'приобрт инвентаря и оборуд'!J24</f>
        <v>0</v>
      </c>
      <c r="Q18" s="137">
        <f ca="1">'приобрт инвентаря и оборуд'!K24</f>
        <v>0</v>
      </c>
      <c r="R18" s="137">
        <f ca="1">'приобрт инвентаря и оборуд'!L24</f>
        <v>0</v>
      </c>
      <c r="S18" s="137">
        <f ca="1">'приобрт инвентаря и оборуд'!M24</f>
        <v>0</v>
      </c>
      <c r="T18" s="116">
        <f t="shared" si="3"/>
        <v>37969</v>
      </c>
      <c r="U18" s="117">
        <f t="shared" si="1"/>
        <v>50000</v>
      </c>
      <c r="V18" s="147">
        <f t="shared" si="4"/>
        <v>12031</v>
      </c>
    </row>
    <row r="19" spans="1:26" ht="15.75">
      <c r="A19" s="59" t="s">
        <v>22</v>
      </c>
      <c r="B19" s="46"/>
      <c r="C19" s="46"/>
      <c r="D19" s="46"/>
      <c r="E19" s="46"/>
      <c r="F19" s="110">
        <v>4900000</v>
      </c>
      <c r="G19" s="111">
        <f t="shared" si="2"/>
        <v>408333.33333333331</v>
      </c>
      <c r="H19" s="136">
        <f ca="1">'вывоз мусора'!B10</f>
        <v>508500</v>
      </c>
      <c r="I19" s="136">
        <f ca="1">'вывоз мусора'!C10</f>
        <v>481000</v>
      </c>
      <c r="J19" s="136">
        <f ca="1">'вывоз мусора'!D10</f>
        <v>457000</v>
      </c>
      <c r="K19" s="136">
        <f ca="1">'вывоз мусора'!E10</f>
        <v>478000</v>
      </c>
      <c r="L19" s="136">
        <f ca="1">'вывоз мусора'!F10</f>
        <v>0</v>
      </c>
      <c r="M19" s="136">
        <f ca="1">'вывоз мусора'!G10</f>
        <v>0</v>
      </c>
      <c r="N19" s="136">
        <f ca="1">'вывоз мусора'!H10</f>
        <v>0</v>
      </c>
      <c r="O19" s="136">
        <f ca="1">'вывоз мусора'!I10</f>
        <v>0</v>
      </c>
      <c r="P19" s="136">
        <f ca="1">'вывоз мусора'!J10</f>
        <v>0</v>
      </c>
      <c r="Q19" s="136">
        <f ca="1">'вывоз мусора'!K10</f>
        <v>0</v>
      </c>
      <c r="R19" s="136">
        <f ca="1">'вывоз мусора'!L10</f>
        <v>0</v>
      </c>
      <c r="S19" s="136">
        <f ca="1">'вывоз мусора'!M10</f>
        <v>0</v>
      </c>
      <c r="T19" s="116">
        <f t="shared" si="3"/>
        <v>1924500</v>
      </c>
      <c r="U19" s="117">
        <f t="shared" si="1"/>
        <v>1633333.3333333333</v>
      </c>
      <c r="V19" s="147">
        <f t="shared" si="4"/>
        <v>-291166.66666666674</v>
      </c>
    </row>
    <row r="20" spans="1:26" ht="15.75">
      <c r="A20" s="59" t="s">
        <v>23</v>
      </c>
      <c r="B20" s="46"/>
      <c r="C20" s="46"/>
      <c r="D20" s="46"/>
      <c r="E20" s="69"/>
      <c r="F20" s="110">
        <v>6210000</v>
      </c>
      <c r="G20" s="111">
        <f t="shared" si="2"/>
        <v>517500</v>
      </c>
      <c r="H20" s="136">
        <f ca="1">'сод охраны'!B7</f>
        <v>517121.4</v>
      </c>
      <c r="I20" s="136">
        <f ca="1">'сод охраны'!C7</f>
        <v>517121.4</v>
      </c>
      <c r="J20" s="136">
        <f ca="1">'сод охраны'!D7</f>
        <v>517121.4</v>
      </c>
      <c r="K20" s="136">
        <f ca="1">'сод охраны'!E7</f>
        <v>517121.4</v>
      </c>
      <c r="L20" s="136">
        <f ca="1">'сод охраны'!F7</f>
        <v>0</v>
      </c>
      <c r="M20" s="136">
        <f ca="1">'сод охраны'!G7</f>
        <v>0</v>
      </c>
      <c r="N20" s="136">
        <f ca="1">'сод охраны'!H7</f>
        <v>0</v>
      </c>
      <c r="O20" s="136">
        <f ca="1">'сод охраны'!I7</f>
        <v>0</v>
      </c>
      <c r="P20" s="136">
        <f ca="1">'сод охраны'!J7</f>
        <v>0</v>
      </c>
      <c r="Q20" s="136">
        <f ca="1">'сод охраны'!K7</f>
        <v>0</v>
      </c>
      <c r="R20" s="136">
        <f ca="1">'сод охраны'!L7</f>
        <v>0</v>
      </c>
      <c r="S20" s="136">
        <f ca="1">'сод охраны'!M7</f>
        <v>0</v>
      </c>
      <c r="T20" s="116">
        <f t="shared" si="3"/>
        <v>2068485.6</v>
      </c>
      <c r="U20" s="117">
        <f t="shared" si="1"/>
        <v>2070000</v>
      </c>
      <c r="V20" s="147">
        <f t="shared" si="4"/>
        <v>1514.3999999999069</v>
      </c>
    </row>
    <row r="21" spans="1:26" ht="15.75">
      <c r="A21" s="63" t="s">
        <v>24</v>
      </c>
      <c r="B21" s="41"/>
      <c r="C21" s="41"/>
      <c r="D21" s="41"/>
      <c r="E21" s="41"/>
      <c r="F21" s="103">
        <v>250000</v>
      </c>
      <c r="G21" s="111">
        <f t="shared" si="2"/>
        <v>20833.333333333332</v>
      </c>
      <c r="H21" s="137">
        <f ca="1">'содерж газ оборуд'!B6</f>
        <v>20697.669999999998</v>
      </c>
      <c r="I21" s="137">
        <f ca="1">'содерж газ оборуд'!C6</f>
        <v>20697.669999999998</v>
      </c>
      <c r="J21" s="137">
        <f ca="1">'содерж газ оборуд'!D6</f>
        <v>20697.669999999998</v>
      </c>
      <c r="K21" s="137">
        <f ca="1">'содерж газ оборуд'!E6</f>
        <v>20697.669999999998</v>
      </c>
      <c r="L21" s="137">
        <f ca="1">'содерж газ оборуд'!F6</f>
        <v>0</v>
      </c>
      <c r="M21" s="137">
        <f ca="1">'содерж газ оборуд'!G6</f>
        <v>0</v>
      </c>
      <c r="N21" s="137">
        <f ca="1">'содерж газ оборуд'!H6</f>
        <v>0</v>
      </c>
      <c r="O21" s="137">
        <f ca="1">'содерж газ оборуд'!I6</f>
        <v>0</v>
      </c>
      <c r="P21" s="137">
        <f ca="1">'содерж газ оборуд'!J6</f>
        <v>0</v>
      </c>
      <c r="Q21" s="137">
        <f ca="1">'содерж газ оборуд'!K6</f>
        <v>0</v>
      </c>
      <c r="R21" s="137">
        <f ca="1">'содерж газ оборуд'!L6</f>
        <v>0</v>
      </c>
      <c r="S21" s="137">
        <f ca="1">'содерж газ оборуд'!M6</f>
        <v>0</v>
      </c>
      <c r="T21" s="116">
        <f t="shared" si="3"/>
        <v>82790.679999999993</v>
      </c>
      <c r="U21" s="117">
        <f t="shared" si="1"/>
        <v>83333.333333333328</v>
      </c>
      <c r="V21" s="147">
        <f t="shared" si="4"/>
        <v>542.65333333333547</v>
      </c>
    </row>
    <row r="22" spans="1:26" ht="15.75">
      <c r="A22" s="59" t="s">
        <v>25</v>
      </c>
      <c r="B22" s="46"/>
      <c r="C22" s="46"/>
      <c r="D22" s="46"/>
      <c r="E22" s="46"/>
      <c r="F22" s="110">
        <v>300000</v>
      </c>
      <c r="G22" s="111">
        <f t="shared" si="2"/>
        <v>25000</v>
      </c>
      <c r="H22" s="136">
        <f ca="1">'сод сетей водоснабжения'!B33</f>
        <v>12350</v>
      </c>
      <c r="I22" s="136">
        <f ca="1">'сод сетей водоснабжения'!C33</f>
        <v>33407</v>
      </c>
      <c r="J22" s="136">
        <f ca="1">'сод сетей водоснабжения'!D33</f>
        <v>11670.7</v>
      </c>
      <c r="K22" s="136">
        <f ca="1">'сод сетей водоснабжения'!E33</f>
        <v>7140</v>
      </c>
      <c r="L22" s="136">
        <f ca="1">'сод сетей водоснабжения'!F33</f>
        <v>0</v>
      </c>
      <c r="M22" s="136">
        <f ca="1">'сод сетей водоснабжения'!G33</f>
        <v>0</v>
      </c>
      <c r="N22" s="136">
        <f ca="1">'сод сетей водоснабжения'!H33</f>
        <v>0</v>
      </c>
      <c r="O22" s="136">
        <f ca="1">'сод сетей водоснабжения'!I33</f>
        <v>0</v>
      </c>
      <c r="P22" s="136">
        <f ca="1">'сод сетей водоснабжения'!J33</f>
        <v>0</v>
      </c>
      <c r="Q22" s="136">
        <f ca="1">'сод сетей водоснабжения'!K33</f>
        <v>0</v>
      </c>
      <c r="R22" s="136">
        <f ca="1">'сод сетей водоснабжения'!L33</f>
        <v>0</v>
      </c>
      <c r="S22" s="136">
        <f ca="1">'сод сетей водоснабжения'!M33</f>
        <v>0</v>
      </c>
      <c r="T22" s="116">
        <f t="shared" si="3"/>
        <v>64567.7</v>
      </c>
      <c r="U22" s="117">
        <f t="shared" si="1"/>
        <v>100000</v>
      </c>
      <c r="V22" s="147">
        <f t="shared" si="4"/>
        <v>35432.300000000003</v>
      </c>
    </row>
    <row r="23" spans="1:26" ht="15.75">
      <c r="A23" s="59" t="s">
        <v>114</v>
      </c>
      <c r="B23" s="46"/>
      <c r="C23" s="46"/>
      <c r="D23" s="46"/>
      <c r="E23" s="46"/>
      <c r="F23" s="110">
        <v>350000</v>
      </c>
      <c r="G23" s="111">
        <f>F23/12</f>
        <v>29166.666666666668</v>
      </c>
      <c r="H23" s="136">
        <f ca="1">канализация!B24</f>
        <v>16330</v>
      </c>
      <c r="I23" s="136">
        <f ca="1">канализация!C24</f>
        <v>17969</v>
      </c>
      <c r="J23" s="136">
        <f ca="1">канализация!D24</f>
        <v>20300</v>
      </c>
      <c r="K23" s="136">
        <f ca="1">канализация!E24</f>
        <v>11070</v>
      </c>
      <c r="L23" s="136">
        <f ca="1">канализация!F24</f>
        <v>0</v>
      </c>
      <c r="M23" s="136">
        <f ca="1">канализация!G24</f>
        <v>0</v>
      </c>
      <c r="N23" s="136">
        <f ca="1">канализация!H24</f>
        <v>0</v>
      </c>
      <c r="O23" s="136">
        <f ca="1">канализация!I24</f>
        <v>0</v>
      </c>
      <c r="P23" s="136">
        <f ca="1">канализация!J24</f>
        <v>0</v>
      </c>
      <c r="Q23" s="136">
        <f ca="1">канализация!K24</f>
        <v>0</v>
      </c>
      <c r="R23" s="136">
        <f ca="1">канализация!L24</f>
        <v>0</v>
      </c>
      <c r="S23" s="136">
        <f ca="1">канализация!M24</f>
        <v>0</v>
      </c>
      <c r="T23" s="116">
        <f>SUM(H23:S23)</f>
        <v>65669</v>
      </c>
      <c r="U23" s="117">
        <f t="shared" si="1"/>
        <v>116666.66666666667</v>
      </c>
      <c r="V23" s="147">
        <f>U23-T23</f>
        <v>50997.666666666672</v>
      </c>
    </row>
    <row r="24" spans="1:26" ht="15.75">
      <c r="A24" s="59" t="s">
        <v>115</v>
      </c>
      <c r="B24" s="46"/>
      <c r="C24" s="46"/>
      <c r="D24" s="46"/>
      <c r="E24" s="46"/>
      <c r="F24" s="110">
        <v>1700000</v>
      </c>
      <c r="G24" s="111">
        <f t="shared" si="2"/>
        <v>141666.66666666666</v>
      </c>
      <c r="H24" s="136">
        <f ca="1">электроснабжение!B21</f>
        <v>90104.69</v>
      </c>
      <c r="I24" s="136">
        <f ca="1">электроснабжение!C21</f>
        <v>76105.11</v>
      </c>
      <c r="J24" s="136">
        <f ca="1">электроснабжение!D21</f>
        <v>134348.87</v>
      </c>
      <c r="K24" s="136">
        <f ca="1">электроснабжение!E21</f>
        <v>192716.59000000003</v>
      </c>
      <c r="L24" s="136">
        <f ca="1">электроснабжение!F21</f>
        <v>0</v>
      </c>
      <c r="M24" s="136">
        <f ca="1">электроснабжение!G21</f>
        <v>0</v>
      </c>
      <c r="N24" s="136">
        <f ca="1">электроснабжение!H21</f>
        <v>0</v>
      </c>
      <c r="O24" s="136">
        <f ca="1">электроснабжение!I21</f>
        <v>0</v>
      </c>
      <c r="P24" s="136">
        <f ca="1">электроснабжение!J21</f>
        <v>0</v>
      </c>
      <c r="Q24" s="136">
        <f ca="1">электроснабжение!K21</f>
        <v>0</v>
      </c>
      <c r="R24" s="136">
        <f ca="1">электроснабжение!L21</f>
        <v>0</v>
      </c>
      <c r="S24" s="136">
        <f ca="1">электроснабжение!M21</f>
        <v>0</v>
      </c>
      <c r="T24" s="116">
        <f t="shared" si="3"/>
        <v>493275.26</v>
      </c>
      <c r="U24" s="117">
        <f t="shared" si="1"/>
        <v>566666.66666666663</v>
      </c>
      <c r="V24" s="147">
        <f t="shared" si="4"/>
        <v>73391.406666666619</v>
      </c>
      <c r="Z24" t="s">
        <v>109</v>
      </c>
    </row>
    <row r="25" spans="1:26" ht="15.75">
      <c r="A25" s="59" t="s">
        <v>79</v>
      </c>
      <c r="B25" s="46"/>
      <c r="C25" s="46"/>
      <c r="D25" s="46"/>
      <c r="E25" s="46"/>
      <c r="F25" s="110">
        <v>250000</v>
      </c>
      <c r="G25" s="111">
        <f t="shared" si="2"/>
        <v>20833.333333333332</v>
      </c>
      <c r="H25" s="136">
        <f ca="1">'содерж дорог'!B36</f>
        <v>41127.49</v>
      </c>
      <c r="I25" s="136">
        <f ca="1">'содерж дорог'!C36</f>
        <v>3920</v>
      </c>
      <c r="J25" s="136">
        <f ca="1">'содерж дорог'!D36</f>
        <v>35714.97</v>
      </c>
      <c r="K25" s="136">
        <f ca="1">'содерж дорог'!E36</f>
        <v>0</v>
      </c>
      <c r="L25" s="136">
        <f ca="1">'содерж дорог'!F36</f>
        <v>0</v>
      </c>
      <c r="M25" s="136">
        <f ca="1">'содерж дорог'!G36</f>
        <v>0</v>
      </c>
      <c r="N25" s="136">
        <f ca="1">'содерж дорог'!H36</f>
        <v>0</v>
      </c>
      <c r="O25" s="136">
        <f ca="1">'содерж дорог'!I36</f>
        <v>0</v>
      </c>
      <c r="P25" s="136">
        <f ca="1">'содерж дорог'!J36</f>
        <v>0</v>
      </c>
      <c r="Q25" s="136">
        <f ca="1">'содерж дорог'!K36</f>
        <v>0</v>
      </c>
      <c r="R25" s="136">
        <f ca="1">'содерж дорог'!L36</f>
        <v>0</v>
      </c>
      <c r="S25" s="136">
        <f ca="1">'содерж дорог'!M36</f>
        <v>0</v>
      </c>
      <c r="T25" s="116">
        <f t="shared" si="3"/>
        <v>80762.459999999992</v>
      </c>
      <c r="U25" s="117">
        <f t="shared" si="1"/>
        <v>83333.333333333328</v>
      </c>
      <c r="V25" s="147">
        <f t="shared" si="4"/>
        <v>2570.8733333333366</v>
      </c>
    </row>
    <row r="26" spans="1:26" ht="15.75">
      <c r="A26" s="59" t="s">
        <v>52</v>
      </c>
      <c r="B26" s="46"/>
      <c r="C26" s="46"/>
      <c r="D26" s="46"/>
      <c r="E26" s="46"/>
      <c r="F26" s="110">
        <v>300000</v>
      </c>
      <c r="G26" s="111">
        <f>F26/12</f>
        <v>25000</v>
      </c>
      <c r="H26" s="136">
        <f ca="1">благоустройство!B45</f>
        <v>4880.2</v>
      </c>
      <c r="I26" s="136">
        <f ca="1">благоустройство!C45</f>
        <v>37009</v>
      </c>
      <c r="J26" s="136">
        <f ca="1">благоустройство!D45</f>
        <v>41317.699999999997</v>
      </c>
      <c r="K26" s="136">
        <f ca="1">благоустройство!E45</f>
        <v>71655.73</v>
      </c>
      <c r="L26" s="136">
        <f ca="1">благоустройство!F45</f>
        <v>0</v>
      </c>
      <c r="M26" s="136">
        <f ca="1">благоустройство!G45</f>
        <v>0</v>
      </c>
      <c r="N26" s="136">
        <f ca="1">благоустройство!H45</f>
        <v>0</v>
      </c>
      <c r="O26" s="136">
        <f ca="1">благоустройство!I45</f>
        <v>0</v>
      </c>
      <c r="P26" s="136">
        <f ca="1">благоустройство!J45</f>
        <v>0</v>
      </c>
      <c r="Q26" s="136">
        <f ca="1">благоустройство!K45</f>
        <v>0</v>
      </c>
      <c r="R26" s="136">
        <f ca="1">благоустройство!L45</f>
        <v>0</v>
      </c>
      <c r="S26" s="136">
        <f ca="1">благоустройство!M45</f>
        <v>0</v>
      </c>
      <c r="T26" s="116">
        <f>SUM(H26:S26)</f>
        <v>154862.63</v>
      </c>
      <c r="U26" s="117">
        <f t="shared" si="1"/>
        <v>100000</v>
      </c>
      <c r="V26" s="147">
        <f t="shared" ref="V26:V31" si="5">U26-T26</f>
        <v>-54862.630000000005</v>
      </c>
    </row>
    <row r="27" spans="1:26" ht="15.75">
      <c r="A27" s="59" t="s">
        <v>54</v>
      </c>
      <c r="B27" s="46"/>
      <c r="C27" s="46"/>
      <c r="D27" s="46"/>
      <c r="E27" s="46"/>
      <c r="F27" s="110">
        <v>1387500</v>
      </c>
      <c r="G27" s="111">
        <f>F27/12</f>
        <v>115625</v>
      </c>
      <c r="H27" s="136">
        <f ca="1">'резервный фонд'!B64</f>
        <v>161412.76</v>
      </c>
      <c r="I27" s="136">
        <f ca="1">'резервный фонд'!C64</f>
        <v>20000</v>
      </c>
      <c r="J27" s="136">
        <f ca="1">'резервный фонд'!D64</f>
        <v>53301.2</v>
      </c>
      <c r="K27" s="136">
        <f ca="1">'резервный фонд'!E64</f>
        <v>418529</v>
      </c>
      <c r="L27" s="136">
        <f ca="1">'резервный фонд'!F64</f>
        <v>0</v>
      </c>
      <c r="M27" s="136">
        <f ca="1">'резервный фонд'!G64</f>
        <v>0</v>
      </c>
      <c r="N27" s="136">
        <f ca="1">'резервный фонд'!H64</f>
        <v>0</v>
      </c>
      <c r="O27" s="136">
        <f ca="1">'резервный фонд'!I64</f>
        <v>0</v>
      </c>
      <c r="P27" s="136">
        <f ca="1">'резервный фонд'!J64</f>
        <v>0</v>
      </c>
      <c r="Q27" s="136">
        <f ca="1">'резервный фонд'!K64</f>
        <v>0</v>
      </c>
      <c r="R27" s="136">
        <f ca="1">'резервный фонд'!L64</f>
        <v>0</v>
      </c>
      <c r="S27" s="136">
        <f ca="1">'резервный фонд'!M64</f>
        <v>0</v>
      </c>
      <c r="T27" s="116">
        <f>SUM(H27:S27)</f>
        <v>653242.96</v>
      </c>
      <c r="U27" s="116">
        <f>G27*U2</f>
        <v>462500</v>
      </c>
      <c r="V27" s="147">
        <f t="shared" si="5"/>
        <v>-190742.95999999996</v>
      </c>
      <c r="W27" s="37"/>
    </row>
    <row r="28" spans="1:26" ht="15.75">
      <c r="A28" s="59" t="s">
        <v>89</v>
      </c>
      <c r="B28" s="46"/>
      <c r="C28" s="46"/>
      <c r="D28" s="46"/>
      <c r="E28" s="46"/>
      <c r="F28" s="110">
        <v>600000</v>
      </c>
      <c r="G28" s="111" t="s">
        <v>103</v>
      </c>
      <c r="H28" s="136">
        <f ca="1">'ямочный ремонт'!B11</f>
        <v>317375</v>
      </c>
      <c r="I28" s="136">
        <f ca="1">'ямочный ремонт'!C11</f>
        <v>507645</v>
      </c>
      <c r="J28" s="136">
        <f ca="1">'ямочный ремонт'!D11</f>
        <v>0</v>
      </c>
      <c r="K28" s="136">
        <f ca="1">'ямочный ремонт'!E11</f>
        <v>0</v>
      </c>
      <c r="L28" s="136">
        <f ca="1">'ямочный ремонт'!F11</f>
        <v>0</v>
      </c>
      <c r="M28" s="136">
        <v>0</v>
      </c>
      <c r="N28" s="136">
        <v>0</v>
      </c>
      <c r="O28" s="136">
        <v>0</v>
      </c>
      <c r="P28" s="136">
        <v>0</v>
      </c>
      <c r="Q28" s="136">
        <v>0</v>
      </c>
      <c r="R28" s="136">
        <v>0</v>
      </c>
      <c r="S28" s="136">
        <v>0</v>
      </c>
      <c r="T28" s="330">
        <f t="shared" si="3"/>
        <v>825020</v>
      </c>
      <c r="U28" s="203">
        <f t="shared" ref="U28:U33" si="6">F28</f>
        <v>600000</v>
      </c>
      <c r="V28" s="147">
        <f t="shared" si="5"/>
        <v>-225020</v>
      </c>
    </row>
    <row r="29" spans="1:26" ht="15.75">
      <c r="A29" s="59" t="s">
        <v>130</v>
      </c>
      <c r="B29" s="46"/>
      <c r="C29" s="46"/>
      <c r="D29" s="46"/>
      <c r="E29" s="46"/>
      <c r="F29" s="110">
        <v>700000</v>
      </c>
      <c r="G29" s="111" t="s">
        <v>103</v>
      </c>
      <c r="H29" s="136">
        <v>700000</v>
      </c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330">
        <f t="shared" si="3"/>
        <v>700000</v>
      </c>
      <c r="U29" s="203">
        <f t="shared" si="6"/>
        <v>700000</v>
      </c>
      <c r="V29" s="147">
        <f t="shared" si="5"/>
        <v>0</v>
      </c>
    </row>
    <row r="30" spans="1:26" ht="15.75">
      <c r="A30" s="182" t="s">
        <v>88</v>
      </c>
      <c r="B30" s="35"/>
      <c r="C30" s="35"/>
      <c r="D30" s="35"/>
      <c r="E30" s="35"/>
      <c r="F30" s="183">
        <v>210000</v>
      </c>
      <c r="G30" s="184" t="s">
        <v>103</v>
      </c>
      <c r="H30" s="185">
        <f>154000+20300+35700</f>
        <v>210000</v>
      </c>
      <c r="I30" s="185"/>
      <c r="J30" s="185"/>
      <c r="K30" s="185"/>
      <c r="L30" s="185"/>
      <c r="M30" s="185"/>
      <c r="N30" s="185"/>
      <c r="O30" s="185"/>
      <c r="P30" s="185"/>
      <c r="Q30" s="185"/>
      <c r="R30" s="185"/>
      <c r="S30" s="185"/>
      <c r="T30" s="330">
        <f t="shared" si="3"/>
        <v>210000</v>
      </c>
      <c r="U30" s="203">
        <f t="shared" si="6"/>
        <v>210000</v>
      </c>
      <c r="V30" s="147">
        <f t="shared" si="5"/>
        <v>0</v>
      </c>
    </row>
    <row r="31" spans="1:26" ht="15.75">
      <c r="A31" s="59" t="s">
        <v>123</v>
      </c>
      <c r="B31" s="46"/>
      <c r="C31" s="46"/>
      <c r="D31" s="46"/>
      <c r="E31" s="69"/>
      <c r="F31" s="110">
        <v>150000</v>
      </c>
      <c r="G31" s="111" t="s">
        <v>103</v>
      </c>
      <c r="H31" s="136">
        <v>65000</v>
      </c>
      <c r="I31" s="136"/>
      <c r="J31" s="136">
        <v>65000</v>
      </c>
      <c r="K31" s="136"/>
      <c r="L31" s="136"/>
      <c r="M31" s="136"/>
      <c r="N31" s="136"/>
      <c r="O31" s="136"/>
      <c r="P31" s="136"/>
      <c r="Q31" s="136"/>
      <c r="R31" s="136"/>
      <c r="S31" s="136"/>
      <c r="T31" s="330">
        <f t="shared" ref="T31:T37" si="7">SUM(H31:S31)</f>
        <v>130000</v>
      </c>
      <c r="U31" s="203">
        <f t="shared" si="6"/>
        <v>150000</v>
      </c>
      <c r="V31" s="147">
        <f t="shared" si="5"/>
        <v>20000</v>
      </c>
    </row>
    <row r="32" spans="1:26" ht="15.75">
      <c r="A32" s="63" t="s">
        <v>99</v>
      </c>
      <c r="B32" s="41"/>
      <c r="C32" s="41"/>
      <c r="D32" s="41"/>
      <c r="E32" s="41"/>
      <c r="F32" s="103">
        <v>3000000</v>
      </c>
      <c r="G32" s="104" t="s">
        <v>103</v>
      </c>
      <c r="H32" s="137">
        <f ca="1">'Ремонт водопров.'!B17</f>
        <v>323087</v>
      </c>
      <c r="I32" s="137">
        <f ca="1">'Ремонт водопров.'!C17</f>
        <v>1417595</v>
      </c>
      <c r="J32" s="137">
        <f ca="1">'Ремонт водопров.'!D17</f>
        <v>2279590.42</v>
      </c>
      <c r="K32" s="137">
        <f ca="1">'Ремонт водопров.'!E17</f>
        <v>282599</v>
      </c>
      <c r="L32" s="137">
        <f ca="1">'Ремонт водопров.'!F17</f>
        <v>0</v>
      </c>
      <c r="M32" s="137">
        <f ca="1">'Ремонт водопров.'!G17</f>
        <v>0</v>
      </c>
      <c r="N32" s="137">
        <f ca="1">'Ремонт водопров.'!H17</f>
        <v>0</v>
      </c>
      <c r="O32" s="137">
        <f ca="1">'Ремонт водопров.'!I17</f>
        <v>0</v>
      </c>
      <c r="P32" s="137">
        <f ca="1">'Ремонт водопров.'!J17</f>
        <v>0</v>
      </c>
      <c r="Q32" s="137">
        <f ca="1">'Ремонт водопров.'!K17</f>
        <v>0</v>
      </c>
      <c r="R32" s="137">
        <v>0</v>
      </c>
      <c r="S32" s="137">
        <v>0</v>
      </c>
      <c r="T32" s="132">
        <f t="shared" si="7"/>
        <v>4302871.42</v>
      </c>
      <c r="U32" s="203">
        <f t="shared" si="6"/>
        <v>3000000</v>
      </c>
      <c r="V32" s="310">
        <f t="shared" ref="V32:V37" si="8">F32-T32</f>
        <v>-1302871.42</v>
      </c>
    </row>
    <row r="33" spans="1:23" ht="15.75">
      <c r="A33" s="59" t="s">
        <v>100</v>
      </c>
      <c r="B33" s="46"/>
      <c r="C33" s="46"/>
      <c r="D33" s="46"/>
      <c r="E33" s="46"/>
      <c r="F33" s="110">
        <v>1200000</v>
      </c>
      <c r="G33" s="111" t="s">
        <v>103</v>
      </c>
      <c r="H33" s="136">
        <f ca="1">Лиц.скважин!B18</f>
        <v>0</v>
      </c>
      <c r="I33" s="136">
        <f ca="1">Лиц.скважин!C18</f>
        <v>75000</v>
      </c>
      <c r="J33" s="136">
        <f ca="1">Лиц.скважин!D18</f>
        <v>0</v>
      </c>
      <c r="K33" s="136">
        <f ca="1">Лиц.скважин!E18</f>
        <v>10000</v>
      </c>
      <c r="L33" s="136">
        <f ca="1">Лиц.скважин!F18</f>
        <v>0</v>
      </c>
      <c r="M33" s="136">
        <f ca="1">Лиц.скважин!G18</f>
        <v>0</v>
      </c>
      <c r="N33" s="136">
        <f ca="1">Лиц.скважин!H18</f>
        <v>0</v>
      </c>
      <c r="O33" s="136">
        <f ca="1">Лиц.скважин!I18</f>
        <v>0</v>
      </c>
      <c r="P33" s="136">
        <f ca="1">Лиц.скважин!J18</f>
        <v>0</v>
      </c>
      <c r="Q33" s="136">
        <f ca="1">Лиц.скважин!K18</f>
        <v>0</v>
      </c>
      <c r="R33" s="136">
        <f ca="1">Лиц.скважин!L18</f>
        <v>0</v>
      </c>
      <c r="S33" s="136">
        <f ca="1">Лиц.скважин!M18</f>
        <v>0</v>
      </c>
      <c r="T33" s="116">
        <f t="shared" si="7"/>
        <v>85000</v>
      </c>
      <c r="U33" s="203">
        <f t="shared" si="6"/>
        <v>1200000</v>
      </c>
      <c r="V33" s="147">
        <f t="shared" si="8"/>
        <v>1115000</v>
      </c>
    </row>
    <row r="34" spans="1:23" ht="15.75">
      <c r="A34" s="59" t="s">
        <v>124</v>
      </c>
      <c r="B34" s="46"/>
      <c r="C34" s="46"/>
      <c r="D34" s="46"/>
      <c r="E34" s="46"/>
      <c r="F34" s="110">
        <v>1600000</v>
      </c>
      <c r="G34" s="111" t="s">
        <v>103</v>
      </c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16">
        <f t="shared" si="7"/>
        <v>0</v>
      </c>
      <c r="U34" s="203">
        <f>F34</f>
        <v>1600000</v>
      </c>
      <c r="V34" s="147">
        <f t="shared" si="8"/>
        <v>1600000</v>
      </c>
    </row>
    <row r="35" spans="1:23" ht="15.75">
      <c r="A35" s="59" t="s">
        <v>101</v>
      </c>
      <c r="B35" s="46"/>
      <c r="C35" s="46"/>
      <c r="D35" s="46"/>
      <c r="E35" s="46"/>
      <c r="F35" s="110">
        <v>100000</v>
      </c>
      <c r="G35" s="111" t="s">
        <v>103</v>
      </c>
      <c r="H35" s="136">
        <f ca="1">'Оформление земли'!B17</f>
        <v>50000</v>
      </c>
      <c r="I35" s="136">
        <f ca="1">'Оформление земли'!C17</f>
        <v>0</v>
      </c>
      <c r="J35" s="136">
        <f ca="1">'Оформление земли'!D17</f>
        <v>0</v>
      </c>
      <c r="K35" s="136">
        <f ca="1">'Оформление земли'!E17</f>
        <v>0</v>
      </c>
      <c r="L35" s="136">
        <f ca="1">'Оформление земли'!F17</f>
        <v>0</v>
      </c>
      <c r="M35" s="136">
        <f ca="1">'Оформление земли'!G17</f>
        <v>0</v>
      </c>
      <c r="N35" s="136">
        <f ca="1">'Оформление земли'!H17</f>
        <v>0</v>
      </c>
      <c r="O35" s="136">
        <f ca="1">'Оформление земли'!I17</f>
        <v>0</v>
      </c>
      <c r="P35" s="136">
        <f ca="1">'Оформление земли'!J17</f>
        <v>0</v>
      </c>
      <c r="Q35" s="136">
        <f ca="1">'Оформление земли'!K17</f>
        <v>0</v>
      </c>
      <c r="R35" s="136">
        <f ca="1">'Оформление земли'!L17</f>
        <v>0</v>
      </c>
      <c r="S35" s="136">
        <f ca="1">'Оформление земли'!M17</f>
        <v>0</v>
      </c>
      <c r="T35" s="116">
        <f t="shared" si="7"/>
        <v>50000</v>
      </c>
      <c r="U35" s="203">
        <f>F35</f>
        <v>100000</v>
      </c>
      <c r="V35" s="147">
        <f t="shared" si="8"/>
        <v>50000</v>
      </c>
    </row>
    <row r="36" spans="1:23" ht="15.75">
      <c r="A36" s="59" t="s">
        <v>121</v>
      </c>
      <c r="B36" s="46"/>
      <c r="C36" s="46"/>
      <c r="D36" s="46"/>
      <c r="E36" s="46"/>
      <c r="F36" s="110">
        <v>1440000</v>
      </c>
      <c r="G36" s="111" t="s">
        <v>103</v>
      </c>
      <c r="H36" s="136">
        <f ca="1">Глуб.насос!B17</f>
        <v>0</v>
      </c>
      <c r="I36" s="136">
        <f ca="1">Глуб.насос!C17</f>
        <v>0</v>
      </c>
      <c r="J36" s="136">
        <f ca="1">Глуб.насос!D17</f>
        <v>0</v>
      </c>
      <c r="K36" s="136">
        <f ca="1">Глуб.насос!E17</f>
        <v>0</v>
      </c>
      <c r="L36" s="136">
        <f ca="1">Глуб.насос!F17</f>
        <v>0</v>
      </c>
      <c r="M36" s="136">
        <f ca="1">Глуб.насос!G17</f>
        <v>0</v>
      </c>
      <c r="N36" s="136">
        <f ca="1">Глуб.насос!H17</f>
        <v>0</v>
      </c>
      <c r="O36" s="136">
        <f ca="1">Глуб.насос!I17</f>
        <v>0</v>
      </c>
      <c r="P36" s="136">
        <f ca="1">Глуб.насос!J17</f>
        <v>0</v>
      </c>
      <c r="Q36" s="136">
        <f ca="1">Глуб.насос!K17</f>
        <v>0</v>
      </c>
      <c r="R36" s="136">
        <f ca="1">Глуб.насос!L17</f>
        <v>0</v>
      </c>
      <c r="S36" s="136">
        <f ca="1">Глуб.насос!M17</f>
        <v>0</v>
      </c>
      <c r="T36" s="116">
        <f t="shared" si="7"/>
        <v>0</v>
      </c>
      <c r="U36" s="203">
        <f>F36</f>
        <v>1440000</v>
      </c>
      <c r="V36" s="147">
        <f t="shared" si="8"/>
        <v>1440000</v>
      </c>
    </row>
    <row r="37" spans="1:23" ht="16.5" thickBot="1">
      <c r="A37" s="87" t="s">
        <v>122</v>
      </c>
      <c r="B37" s="85"/>
      <c r="C37" s="85"/>
      <c r="D37" s="85"/>
      <c r="E37" s="85"/>
      <c r="F37" s="138">
        <v>200000</v>
      </c>
      <c r="G37" s="139" t="s">
        <v>103</v>
      </c>
      <c r="H37" s="140">
        <f ca="1">Помещ.охраны!B12</f>
        <v>0</v>
      </c>
      <c r="I37" s="140">
        <f ca="1">Помещ.охраны!C12</f>
        <v>0</v>
      </c>
      <c r="J37" s="140">
        <f ca="1">Помещ.охраны!D12</f>
        <v>0</v>
      </c>
      <c r="K37" s="140">
        <f ca="1">Помещ.охраны!E12</f>
        <v>0</v>
      </c>
      <c r="L37" s="140">
        <f ca="1">Помещ.охраны!F12</f>
        <v>0</v>
      </c>
      <c r="M37" s="140">
        <f ca="1">Помещ.охраны!G12</f>
        <v>0</v>
      </c>
      <c r="N37" s="140">
        <f ca="1">Помещ.охраны!H12</f>
        <v>0</v>
      </c>
      <c r="O37" s="140">
        <f ca="1">Помещ.охраны!I12</f>
        <v>0</v>
      </c>
      <c r="P37" s="140">
        <f ca="1">Помещ.охраны!J12</f>
        <v>0</v>
      </c>
      <c r="Q37" s="140">
        <f ca="1">Помещ.охраны!K12</f>
        <v>0</v>
      </c>
      <c r="R37" s="140">
        <f ca="1">Помещ.охраны!L12</f>
        <v>0</v>
      </c>
      <c r="S37" s="140">
        <f ca="1">Помещ.охраны!M12</f>
        <v>0</v>
      </c>
      <c r="T37" s="129">
        <f t="shared" si="7"/>
        <v>0</v>
      </c>
      <c r="U37" s="329">
        <f>F37</f>
        <v>200000</v>
      </c>
      <c r="V37" s="148">
        <f t="shared" si="8"/>
        <v>200000</v>
      </c>
    </row>
    <row r="38" spans="1:23" ht="15.75">
      <c r="A38" s="369" t="s">
        <v>67</v>
      </c>
      <c r="B38" s="370"/>
      <c r="C38" s="370"/>
      <c r="D38" s="370"/>
      <c r="E38" s="371"/>
      <c r="F38" s="103">
        <f>SUM(F12:F37)</f>
        <v>36677500</v>
      </c>
      <c r="G38" s="104">
        <f>SUM(G12:G37)</f>
        <v>2289791.666666667</v>
      </c>
      <c r="H38" s="102">
        <f t="shared" ref="H38:M38" si="9">SUM(H12:H37)</f>
        <v>3964900.54</v>
      </c>
      <c r="I38" s="102">
        <f t="shared" si="9"/>
        <v>4115127.3200000003</v>
      </c>
      <c r="J38" s="102">
        <f t="shared" si="9"/>
        <v>4377399.3599999994</v>
      </c>
      <c r="K38" s="102">
        <f t="shared" si="9"/>
        <v>2960845.11</v>
      </c>
      <c r="L38" s="102">
        <f t="shared" si="9"/>
        <v>0</v>
      </c>
      <c r="M38" s="102">
        <f t="shared" si="9"/>
        <v>0</v>
      </c>
      <c r="N38" s="154">
        <f t="shared" ref="N38:S38" si="10">SUM(N12:N31)</f>
        <v>0</v>
      </c>
      <c r="O38" s="154">
        <f t="shared" si="10"/>
        <v>0</v>
      </c>
      <c r="P38" s="154">
        <f t="shared" si="10"/>
        <v>0</v>
      </c>
      <c r="Q38" s="154">
        <f t="shared" si="10"/>
        <v>0</v>
      </c>
      <c r="R38" s="154">
        <f t="shared" si="10"/>
        <v>0</v>
      </c>
      <c r="S38" s="154">
        <f t="shared" si="10"/>
        <v>0</v>
      </c>
      <c r="T38" s="132">
        <f>SUM(T12:T37)</f>
        <v>15418272.33</v>
      </c>
      <c r="U38" s="132">
        <f>SUM(U12:U37)</f>
        <v>18359166.666666668</v>
      </c>
      <c r="V38" s="132">
        <f>SUM(V12:V37)</f>
        <v>2940894.3366666664</v>
      </c>
    </row>
    <row r="40" spans="1:23" s="263" customFormat="1">
      <c r="A40" s="270"/>
      <c r="B40" s="270"/>
      <c r="C40" s="270"/>
      <c r="D40" s="270"/>
      <c r="E40" s="270"/>
      <c r="F40" s="262"/>
      <c r="G40" s="262"/>
      <c r="H40" s="271"/>
      <c r="I40" s="262"/>
      <c r="J40" s="262"/>
      <c r="K40" s="270"/>
      <c r="L40" s="270"/>
      <c r="M40" s="270"/>
      <c r="N40" s="270"/>
      <c r="O40" s="270"/>
      <c r="P40" s="270"/>
      <c r="Q40" s="270"/>
      <c r="R40" s="270"/>
      <c r="S40" s="270"/>
      <c r="T40" s="262"/>
      <c r="U40" s="262"/>
      <c r="V40" s="262"/>
    </row>
    <row r="41" spans="1:23" s="284" customFormat="1">
      <c r="A41" s="270"/>
      <c r="B41" s="270"/>
      <c r="C41" s="270"/>
      <c r="D41" s="270"/>
      <c r="E41" s="270"/>
      <c r="F41" s="262"/>
      <c r="G41" s="262"/>
      <c r="H41" s="271"/>
      <c r="I41" s="262"/>
      <c r="J41" s="262"/>
      <c r="K41" s="270"/>
      <c r="L41" s="270"/>
      <c r="M41" s="270"/>
      <c r="N41" s="270"/>
      <c r="O41" s="270"/>
      <c r="P41" s="270"/>
      <c r="Q41" s="270"/>
      <c r="R41" s="270"/>
      <c r="S41" s="270"/>
      <c r="T41" s="271"/>
      <c r="U41" s="262"/>
      <c r="V41" s="262"/>
      <c r="W41" s="263"/>
    </row>
    <row r="42" spans="1:23" s="284" customFormat="1">
      <c r="A42" s="263"/>
      <c r="B42" s="263"/>
      <c r="C42" s="263"/>
      <c r="D42" s="263"/>
      <c r="E42" s="263"/>
      <c r="F42" s="286"/>
      <c r="G42" s="286"/>
      <c r="H42" s="286"/>
      <c r="I42" s="286"/>
      <c r="J42" s="286"/>
      <c r="K42" s="263"/>
      <c r="L42" s="263"/>
      <c r="M42" s="263"/>
      <c r="N42" s="263"/>
      <c r="O42" s="263"/>
      <c r="P42" s="263"/>
      <c r="Q42" s="263"/>
      <c r="R42" s="263"/>
      <c r="S42" s="263"/>
      <c r="T42" s="286"/>
      <c r="U42" s="286"/>
      <c r="V42" s="286"/>
      <c r="W42" s="263"/>
    </row>
    <row r="43" spans="1:23" s="291" customFormat="1">
      <c r="A43" s="270"/>
      <c r="B43" s="270"/>
      <c r="C43" s="270"/>
      <c r="D43" s="270"/>
      <c r="E43" s="270"/>
      <c r="F43" s="262"/>
      <c r="G43" s="262"/>
      <c r="H43" s="293"/>
      <c r="I43" s="293"/>
      <c r="J43" s="293"/>
      <c r="K43" s="293"/>
      <c r="L43" s="293"/>
      <c r="M43" s="293"/>
      <c r="N43" s="293"/>
      <c r="O43" s="293"/>
      <c r="P43" s="293"/>
      <c r="Q43" s="293"/>
      <c r="R43" s="293"/>
      <c r="S43" s="293"/>
      <c r="T43" s="292"/>
      <c r="U43" s="292"/>
      <c r="V43" s="292"/>
    </row>
    <row r="44" spans="1:23" s="291" customFormat="1">
      <c r="A44" s="270"/>
      <c r="B44" s="270"/>
      <c r="C44" s="270"/>
      <c r="D44" s="270"/>
      <c r="E44" s="270"/>
      <c r="F44" s="262"/>
      <c r="G44" s="262"/>
      <c r="H44" s="293"/>
      <c r="I44" s="294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62"/>
      <c r="U44" s="292"/>
      <c r="V44" s="292"/>
    </row>
    <row r="45" spans="1:23" s="284" customFormat="1">
      <c r="A45" s="263"/>
      <c r="B45" s="263"/>
      <c r="C45" s="263"/>
      <c r="D45" s="263"/>
      <c r="E45" s="263"/>
      <c r="F45" s="286"/>
      <c r="G45" s="286"/>
      <c r="H45" s="286"/>
      <c r="I45" s="286"/>
      <c r="J45" s="286"/>
      <c r="K45" s="263"/>
      <c r="L45" s="263"/>
      <c r="M45" s="263"/>
      <c r="N45" s="263"/>
      <c r="O45" s="263"/>
      <c r="P45" s="263"/>
      <c r="Q45" s="263"/>
      <c r="R45" s="263"/>
      <c r="S45" s="263"/>
      <c r="T45" s="286"/>
      <c r="U45" s="286"/>
      <c r="V45" s="286"/>
      <c r="W45" s="263"/>
    </row>
    <row r="46" spans="1:23" s="284" customFormat="1">
      <c r="A46" s="270"/>
      <c r="B46" s="270"/>
      <c r="C46" s="270"/>
      <c r="D46" s="270"/>
      <c r="E46" s="270"/>
      <c r="F46" s="262"/>
      <c r="G46" s="262"/>
      <c r="H46" s="285"/>
      <c r="I46" s="262"/>
      <c r="J46" s="262"/>
      <c r="K46" s="270"/>
      <c r="L46" s="270"/>
      <c r="M46" s="270"/>
      <c r="N46" s="270"/>
      <c r="O46" s="270"/>
      <c r="P46" s="270"/>
      <c r="Q46" s="270"/>
      <c r="R46" s="270"/>
      <c r="S46" s="270"/>
      <c r="T46" s="262"/>
      <c r="U46" s="286"/>
      <c r="V46" s="286"/>
      <c r="W46" s="263"/>
    </row>
    <row r="47" spans="1:23" s="284" customFormat="1">
      <c r="A47" s="270"/>
      <c r="B47" s="263"/>
      <c r="C47" s="263"/>
      <c r="D47" s="263"/>
      <c r="E47" s="263"/>
      <c r="F47" s="286"/>
      <c r="G47" s="286"/>
      <c r="H47" s="262"/>
      <c r="I47" s="262"/>
      <c r="J47" s="286"/>
      <c r="K47" s="263"/>
      <c r="L47" s="263"/>
      <c r="M47" s="263"/>
      <c r="N47" s="263"/>
      <c r="O47" s="263"/>
      <c r="P47" s="263"/>
      <c r="Q47" s="263"/>
      <c r="R47" s="263"/>
      <c r="S47" s="263"/>
      <c r="T47" s="286"/>
      <c r="U47" s="286"/>
      <c r="V47" s="286"/>
      <c r="W47" s="263"/>
    </row>
    <row r="48" spans="1:23" s="284" customFormat="1">
      <c r="A48" s="263"/>
      <c r="B48" s="263"/>
      <c r="C48" s="263"/>
      <c r="D48" s="263"/>
      <c r="E48" s="263"/>
      <c r="F48" s="286"/>
      <c r="G48" s="286"/>
      <c r="H48" s="262"/>
      <c r="I48" s="286"/>
      <c r="J48" s="262"/>
      <c r="K48" s="263"/>
      <c r="L48" s="263"/>
      <c r="M48" s="263"/>
      <c r="N48" s="263"/>
      <c r="O48" s="263"/>
      <c r="P48" s="263"/>
      <c r="Q48" s="263"/>
      <c r="R48" s="263"/>
      <c r="S48" s="263"/>
      <c r="T48" s="286"/>
      <c r="U48" s="286"/>
      <c r="V48" s="286"/>
      <c r="W48" s="263"/>
    </row>
    <row r="49" spans="1:23" s="284" customFormat="1">
      <c r="A49" s="263"/>
      <c r="B49" s="263"/>
      <c r="C49" s="263"/>
      <c r="D49" s="263"/>
      <c r="E49" s="263"/>
      <c r="F49" s="286"/>
      <c r="G49" s="286"/>
      <c r="H49" s="262"/>
      <c r="I49" s="262"/>
      <c r="J49" s="286"/>
      <c r="K49" s="263"/>
      <c r="L49" s="263"/>
      <c r="M49" s="263"/>
      <c r="N49" s="263"/>
      <c r="O49" s="263"/>
      <c r="P49" s="263"/>
      <c r="Q49" s="263"/>
      <c r="R49" s="263"/>
      <c r="S49" s="263"/>
      <c r="T49" s="286"/>
      <c r="U49" s="286"/>
      <c r="V49" s="286"/>
      <c r="W49" s="263"/>
    </row>
    <row r="50" spans="1:23" s="284" customFormat="1">
      <c r="A50" s="263"/>
      <c r="B50" s="263"/>
      <c r="C50" s="263"/>
      <c r="D50" s="263"/>
      <c r="E50" s="263"/>
      <c r="F50" s="286"/>
      <c r="G50" s="286"/>
      <c r="H50" s="262"/>
      <c r="I50" s="262"/>
      <c r="J50" s="286"/>
      <c r="K50" s="263"/>
      <c r="L50" s="263"/>
      <c r="M50" s="263"/>
      <c r="N50" s="263"/>
      <c r="O50" s="263"/>
      <c r="P50" s="263"/>
      <c r="Q50" s="263"/>
      <c r="R50" s="263"/>
      <c r="S50" s="263"/>
      <c r="T50" s="286"/>
      <c r="U50" s="286"/>
      <c r="V50" s="286"/>
      <c r="W50" s="263"/>
    </row>
    <row r="51" spans="1:23" s="284" customFormat="1">
      <c r="A51" s="263"/>
      <c r="B51" s="263"/>
      <c r="C51" s="263"/>
      <c r="D51" s="263"/>
      <c r="E51" s="263"/>
      <c r="F51" s="286"/>
      <c r="G51" s="286"/>
      <c r="H51" s="262"/>
      <c r="I51" s="262"/>
      <c r="J51" s="286"/>
      <c r="K51" s="263"/>
      <c r="L51" s="263"/>
      <c r="M51" s="263"/>
      <c r="N51" s="263"/>
      <c r="O51" s="263"/>
      <c r="P51" s="263"/>
      <c r="Q51" s="263"/>
      <c r="R51" s="263"/>
      <c r="S51" s="287"/>
      <c r="T51" s="288"/>
      <c r="U51" s="286"/>
      <c r="V51" s="286"/>
      <c r="W51" s="263"/>
    </row>
    <row r="52" spans="1:23" s="284" customFormat="1">
      <c r="A52" s="263"/>
      <c r="B52" s="263"/>
      <c r="C52" s="263"/>
      <c r="D52" s="263"/>
      <c r="E52" s="263"/>
      <c r="F52" s="286"/>
      <c r="G52" s="286"/>
      <c r="H52" s="262"/>
      <c r="I52" s="286"/>
      <c r="J52" s="286"/>
      <c r="K52" s="263"/>
      <c r="L52" s="263"/>
      <c r="M52" s="263"/>
      <c r="N52" s="263"/>
      <c r="O52" s="263"/>
      <c r="P52" s="263"/>
      <c r="Q52" s="263"/>
      <c r="R52" s="263"/>
      <c r="S52" s="287"/>
      <c r="T52" s="289"/>
      <c r="U52" s="286"/>
      <c r="V52" s="286"/>
      <c r="W52" s="263"/>
    </row>
    <row r="53" spans="1:23" s="284" customFormat="1">
      <c r="A53" s="263"/>
      <c r="B53" s="263"/>
      <c r="C53" s="263"/>
      <c r="D53" s="263"/>
      <c r="E53" s="263"/>
      <c r="F53" s="286"/>
      <c r="G53" s="286"/>
      <c r="H53" s="286"/>
      <c r="I53" s="286"/>
      <c r="J53" s="286"/>
      <c r="K53" s="263"/>
      <c r="L53" s="263"/>
      <c r="M53" s="263"/>
      <c r="N53" s="263"/>
      <c r="O53" s="263"/>
      <c r="P53" s="263"/>
      <c r="Q53" s="263"/>
      <c r="R53" s="263"/>
      <c r="S53" s="287"/>
      <c r="T53" s="288"/>
      <c r="U53" s="286"/>
      <c r="V53" s="286"/>
      <c r="W53" s="263"/>
    </row>
    <row r="54" spans="1:23" s="284" customFormat="1">
      <c r="A54" s="263"/>
      <c r="B54" s="263"/>
      <c r="C54" s="263"/>
      <c r="D54" s="263"/>
      <c r="E54" s="263"/>
      <c r="F54" s="286"/>
      <c r="G54" s="286"/>
      <c r="H54" s="286"/>
      <c r="I54" s="286"/>
      <c r="J54" s="286"/>
      <c r="K54" s="263"/>
      <c r="L54" s="263"/>
      <c r="M54" s="263"/>
      <c r="N54" s="263"/>
      <c r="O54" s="263"/>
      <c r="P54" s="263"/>
      <c r="Q54" s="263"/>
      <c r="R54" s="263"/>
      <c r="S54" s="263"/>
      <c r="T54" s="286"/>
      <c r="U54" s="286"/>
      <c r="V54" s="286"/>
      <c r="W54" s="263"/>
    </row>
    <row r="55" spans="1:23" s="284" customFormat="1">
      <c r="A55" s="263"/>
      <c r="B55" s="263"/>
      <c r="C55" s="263"/>
      <c r="D55" s="263"/>
      <c r="E55" s="263"/>
      <c r="F55" s="286"/>
      <c r="G55" s="286"/>
      <c r="H55" s="286"/>
      <c r="I55" s="286"/>
      <c r="J55" s="286"/>
      <c r="K55" s="263"/>
      <c r="L55" s="263"/>
      <c r="M55" s="263"/>
      <c r="N55" s="263"/>
      <c r="O55" s="263"/>
      <c r="P55" s="263"/>
      <c r="Q55" s="263"/>
      <c r="R55" s="263"/>
      <c r="S55" s="263"/>
      <c r="T55" s="286"/>
      <c r="U55" s="286"/>
      <c r="V55" s="286"/>
      <c r="W55" s="263"/>
    </row>
    <row r="56" spans="1:23" s="284" customFormat="1">
      <c r="A56" s="263"/>
      <c r="B56" s="263"/>
      <c r="C56" s="263"/>
      <c r="D56" s="263"/>
      <c r="E56" s="263"/>
      <c r="F56" s="286"/>
      <c r="G56" s="286"/>
      <c r="H56" s="286"/>
      <c r="I56" s="286"/>
      <c r="J56" s="286"/>
      <c r="K56" s="263"/>
      <c r="L56" s="263"/>
      <c r="M56" s="263"/>
      <c r="N56" s="263"/>
      <c r="O56" s="263"/>
      <c r="P56" s="263"/>
      <c r="Q56" s="263"/>
      <c r="R56" s="263"/>
      <c r="S56" s="263"/>
      <c r="T56" s="286"/>
      <c r="U56" s="286"/>
      <c r="V56" s="286"/>
      <c r="W56" s="263"/>
    </row>
    <row r="57" spans="1:23" s="284" customFormat="1">
      <c r="A57" s="263"/>
      <c r="B57" s="263"/>
      <c r="C57" s="263"/>
      <c r="D57" s="263"/>
      <c r="E57" s="263"/>
      <c r="F57" s="286"/>
      <c r="G57" s="286"/>
      <c r="H57" s="286"/>
      <c r="I57" s="286"/>
      <c r="J57" s="286"/>
      <c r="K57" s="263"/>
      <c r="L57" s="263"/>
      <c r="M57" s="263"/>
      <c r="N57" s="263"/>
      <c r="O57" s="263"/>
      <c r="P57" s="263"/>
      <c r="Q57" s="263"/>
      <c r="R57" s="263"/>
      <c r="S57" s="263"/>
      <c r="T57" s="286"/>
      <c r="U57" s="286"/>
      <c r="V57" s="286"/>
      <c r="W57" s="263"/>
    </row>
    <row r="58" spans="1:23" s="284" customFormat="1">
      <c r="A58" s="263"/>
      <c r="B58" s="263"/>
      <c r="C58" s="263"/>
      <c r="D58" s="263"/>
      <c r="E58" s="263"/>
      <c r="F58" s="286"/>
      <c r="G58" s="286"/>
      <c r="H58" s="286"/>
      <c r="I58" s="286"/>
      <c r="J58" s="286"/>
      <c r="K58" s="263"/>
      <c r="L58" s="263"/>
      <c r="M58" s="263"/>
      <c r="N58" s="263"/>
      <c r="O58" s="263"/>
      <c r="P58" s="263"/>
      <c r="Q58" s="263"/>
      <c r="R58" s="263"/>
      <c r="S58" s="263"/>
      <c r="T58" s="286"/>
      <c r="U58" s="286"/>
      <c r="V58" s="286"/>
      <c r="W58" s="263"/>
    </row>
    <row r="59" spans="1:23" s="284" customFormat="1">
      <c r="A59" s="263"/>
      <c r="B59" s="263"/>
      <c r="C59" s="263"/>
      <c r="D59" s="263"/>
      <c r="E59" s="263"/>
      <c r="F59" s="286"/>
      <c r="G59" s="286"/>
      <c r="H59" s="290"/>
      <c r="I59" s="290"/>
      <c r="J59" s="290"/>
      <c r="K59" s="263"/>
      <c r="L59" s="263"/>
      <c r="M59" s="263"/>
      <c r="N59" s="263"/>
      <c r="O59" s="263"/>
      <c r="P59" s="263"/>
      <c r="Q59" s="263"/>
      <c r="R59" s="263"/>
      <c r="S59" s="263"/>
      <c r="T59" s="286"/>
      <c r="U59" s="286"/>
      <c r="V59" s="286"/>
      <c r="W59" s="263"/>
    </row>
    <row r="60" spans="1:23" s="284" customFormat="1">
      <c r="A60" s="263"/>
      <c r="B60" s="263"/>
      <c r="C60" s="263"/>
      <c r="D60" s="263"/>
      <c r="E60" s="263"/>
      <c r="F60" s="286"/>
      <c r="G60" s="286"/>
      <c r="H60" s="286"/>
      <c r="I60" s="286"/>
      <c r="J60" s="286"/>
      <c r="K60" s="263"/>
      <c r="L60" s="263"/>
      <c r="M60" s="263"/>
      <c r="N60" s="263"/>
      <c r="O60" s="263"/>
      <c r="P60" s="263"/>
      <c r="Q60" s="263"/>
      <c r="R60" s="263"/>
      <c r="S60" s="263"/>
      <c r="T60" s="286"/>
      <c r="U60" s="286"/>
      <c r="V60" s="286"/>
      <c r="W60" s="263"/>
    </row>
    <row r="61" spans="1:23" s="284" customFormat="1">
      <c r="A61" s="263"/>
      <c r="B61" s="263"/>
      <c r="C61" s="263"/>
      <c r="D61" s="263"/>
      <c r="E61" s="263"/>
      <c r="F61" s="286"/>
      <c r="G61" s="286"/>
      <c r="H61" s="286"/>
      <c r="I61" s="286"/>
      <c r="J61" s="286"/>
      <c r="K61" s="263"/>
      <c r="L61" s="263"/>
      <c r="M61" s="263"/>
      <c r="N61" s="263"/>
      <c r="O61" s="263"/>
      <c r="P61" s="263"/>
      <c r="Q61" s="263"/>
      <c r="R61" s="263"/>
      <c r="S61" s="263"/>
      <c r="T61" s="286"/>
      <c r="U61" s="286"/>
      <c r="V61" s="286"/>
      <c r="W61" s="263"/>
    </row>
    <row r="62" spans="1:23" s="284" customFormat="1">
      <c r="A62" s="263"/>
      <c r="B62" s="263"/>
      <c r="C62" s="263"/>
      <c r="D62" s="263"/>
      <c r="E62" s="263"/>
      <c r="F62" s="286"/>
      <c r="G62" s="286"/>
      <c r="H62" s="286"/>
      <c r="I62" s="286"/>
      <c r="J62" s="286"/>
      <c r="K62" s="263"/>
      <c r="L62" s="263"/>
      <c r="M62" s="263"/>
      <c r="N62" s="263"/>
      <c r="O62" s="263"/>
      <c r="P62" s="263"/>
      <c r="Q62" s="263"/>
      <c r="R62" s="263"/>
      <c r="S62" s="263"/>
      <c r="T62" s="286"/>
      <c r="U62" s="286"/>
      <c r="V62" s="286"/>
      <c r="W62" s="263"/>
    </row>
    <row r="63" spans="1:23" s="284" customFormat="1">
      <c r="A63" s="263"/>
      <c r="B63" s="263"/>
      <c r="C63" s="263"/>
      <c r="D63" s="263"/>
      <c r="E63" s="263"/>
      <c r="F63" s="286"/>
      <c r="G63" s="286"/>
      <c r="H63" s="286"/>
      <c r="I63" s="286"/>
      <c r="J63" s="286"/>
      <c r="K63" s="263"/>
      <c r="L63" s="263"/>
      <c r="M63" s="263"/>
      <c r="N63" s="263"/>
      <c r="O63" s="263"/>
      <c r="P63" s="263"/>
      <c r="Q63" s="263"/>
      <c r="R63" s="263"/>
      <c r="S63" s="263"/>
      <c r="T63" s="286"/>
      <c r="U63" s="286"/>
      <c r="V63" s="286"/>
      <c r="W63" s="263"/>
    </row>
    <row r="64" spans="1:23">
      <c r="A64" s="291"/>
      <c r="B64" s="291"/>
      <c r="C64" s="291"/>
      <c r="D64" s="291"/>
      <c r="E64" s="291"/>
      <c r="F64" s="292"/>
      <c r="G64" s="292"/>
      <c r="H64" s="292"/>
      <c r="I64" s="292"/>
      <c r="J64" s="292"/>
      <c r="K64" s="291"/>
      <c r="L64" s="291"/>
      <c r="M64" s="291"/>
      <c r="N64" s="291"/>
      <c r="O64" s="291"/>
      <c r="P64" s="291"/>
      <c r="Q64" s="291"/>
      <c r="R64" s="291"/>
      <c r="S64" s="291"/>
      <c r="T64" s="292"/>
      <c r="U64" s="292"/>
      <c r="V64" s="292"/>
      <c r="W64" s="291"/>
    </row>
    <row r="66" ht="15.75" customHeight="1"/>
    <row r="67" ht="15.75" customHeight="1"/>
    <row r="68" ht="15.75" customHeight="1"/>
  </sheetData>
  <mergeCells count="25">
    <mergeCell ref="U7:U8"/>
    <mergeCell ref="I3:I4"/>
    <mergeCell ref="J3:J4"/>
    <mergeCell ref="U3:U4"/>
    <mergeCell ref="K3:K4"/>
    <mergeCell ref="Q3:Q4"/>
    <mergeCell ref="O3:O4"/>
    <mergeCell ref="P3:P4"/>
    <mergeCell ref="R3:R4"/>
    <mergeCell ref="A38:E38"/>
    <mergeCell ref="A11:E11"/>
    <mergeCell ref="A3:E3"/>
    <mergeCell ref="S3:S4"/>
    <mergeCell ref="V3:V4"/>
    <mergeCell ref="T3:T4"/>
    <mergeCell ref="L3:L4"/>
    <mergeCell ref="M3:M4"/>
    <mergeCell ref="N3:N4"/>
    <mergeCell ref="V7:V8"/>
    <mergeCell ref="H3:H4"/>
    <mergeCell ref="F3:F4"/>
    <mergeCell ref="G3:G4"/>
    <mergeCell ref="F7:F8"/>
    <mergeCell ref="G7:G8"/>
    <mergeCell ref="A10:E10"/>
  </mergeCells>
  <phoneticPr fontId="31" type="noConversion"/>
  <pageMargins left="0.25" right="0.25" top="0.75" bottom="0.75" header="0.3" footer="0.3"/>
  <pageSetup paperSize="9" scale="62" orientation="landscape" verticalDpi="180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7030A0"/>
    <pageSetUpPr fitToPage="1"/>
  </sheetPr>
  <dimension ref="A1:R66"/>
  <sheetViews>
    <sheetView workbookViewId="0">
      <selection activeCell="A14" sqref="A14"/>
    </sheetView>
  </sheetViews>
  <sheetFormatPr defaultRowHeight="15"/>
  <cols>
    <col min="1" max="1" width="34.42578125" customWidth="1"/>
    <col min="2" max="2" width="9.7109375" customWidth="1"/>
    <col min="3" max="3" width="9.28515625" bestFit="1" customWidth="1"/>
    <col min="4" max="4" width="10.28515625" bestFit="1" customWidth="1"/>
    <col min="5" max="5" width="12.85546875" bestFit="1" customWidth="1"/>
    <col min="6" max="6" width="10.28515625" bestFit="1" customWidth="1"/>
    <col min="12" max="12" width="9.28515625" bestFit="1" customWidth="1"/>
    <col min="14" max="14" width="12.85546875" bestFit="1" customWidth="1"/>
    <col min="18" max="18" width="10.28515625" bestFit="1" customWidth="1"/>
  </cols>
  <sheetData>
    <row r="1" spans="1:18">
      <c r="A1" s="14" t="s">
        <v>32</v>
      </c>
      <c r="B1" s="2"/>
      <c r="C1" s="2"/>
      <c r="D1" s="2"/>
      <c r="E1" s="2"/>
      <c r="F1" s="5"/>
      <c r="G1" s="27" t="str">
        <f ca="1">'ВСЕ затраты в 2020-2021 гг'!C1</f>
        <v>2021-2022гг.</v>
      </c>
      <c r="H1" s="2"/>
      <c r="I1" s="2"/>
      <c r="J1" s="2"/>
      <c r="K1" s="2"/>
      <c r="L1" s="2"/>
      <c r="M1" s="2"/>
      <c r="N1" s="1"/>
    </row>
    <row r="2" spans="1:18">
      <c r="A2" s="1"/>
      <c r="B2" s="20" t="s">
        <v>1</v>
      </c>
      <c r="C2" s="20" t="s">
        <v>2</v>
      </c>
      <c r="D2" s="20" t="s">
        <v>3</v>
      </c>
      <c r="E2" s="20" t="s">
        <v>4</v>
      </c>
      <c r="F2" s="20" t="s">
        <v>5</v>
      </c>
      <c r="G2" s="20" t="s">
        <v>6</v>
      </c>
      <c r="H2" s="8" t="s">
        <v>7</v>
      </c>
      <c r="I2" s="7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17"/>
    </row>
    <row r="3" spans="1:18">
      <c r="A3" s="4" t="s">
        <v>127</v>
      </c>
      <c r="B3" s="93">
        <f>15200</f>
        <v>15200</v>
      </c>
      <c r="C3" s="190"/>
      <c r="D3" s="93"/>
      <c r="E3" s="190"/>
      <c r="F3" s="190"/>
      <c r="G3" s="190"/>
      <c r="H3" s="190"/>
      <c r="I3" s="190"/>
      <c r="J3" s="190"/>
      <c r="K3" s="190"/>
      <c r="L3" s="196"/>
      <c r="M3" s="196"/>
      <c r="N3" s="10">
        <f t="shared" ref="N3:N32" si="0">SUM(B3:M3)</f>
        <v>15200</v>
      </c>
    </row>
    <row r="4" spans="1:18">
      <c r="A4" s="2" t="s">
        <v>128</v>
      </c>
      <c r="B4" s="264">
        <v>33125</v>
      </c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80">
        <f t="shared" si="0"/>
        <v>33125</v>
      </c>
    </row>
    <row r="5" spans="1:18">
      <c r="A5" s="253" t="s">
        <v>134</v>
      </c>
      <c r="B5" s="296">
        <f>32781.75+62272.5</f>
        <v>95054.25</v>
      </c>
      <c r="C5" s="264"/>
      <c r="D5" s="296">
        <v>29670</v>
      </c>
      <c r="E5" s="297"/>
      <c r="F5" s="264"/>
      <c r="G5" s="298"/>
      <c r="H5" s="296"/>
      <c r="I5" s="297"/>
      <c r="J5" s="296"/>
      <c r="K5" s="296"/>
      <c r="L5" s="296"/>
      <c r="M5" s="281"/>
      <c r="N5" s="281">
        <f t="shared" si="0"/>
        <v>124724.25</v>
      </c>
      <c r="P5" s="308"/>
      <c r="Q5" s="309"/>
      <c r="R5" s="309"/>
    </row>
    <row r="6" spans="1:18">
      <c r="A6" s="208" t="s">
        <v>133</v>
      </c>
      <c r="B6" s="278">
        <v>2033.51</v>
      </c>
      <c r="C6" s="278"/>
      <c r="D6" s="278"/>
      <c r="E6" s="299"/>
      <c r="F6" s="264"/>
      <c r="G6" s="299"/>
      <c r="H6" s="278"/>
      <c r="I6" s="299"/>
      <c r="J6" s="278"/>
      <c r="K6" s="278"/>
      <c r="L6" s="278"/>
      <c r="M6" s="278"/>
      <c r="N6" s="267">
        <f t="shared" si="0"/>
        <v>2033.51</v>
      </c>
    </row>
    <row r="7" spans="1:18">
      <c r="A7" s="2" t="s">
        <v>137</v>
      </c>
      <c r="B7" s="278">
        <v>16000</v>
      </c>
      <c r="C7" s="278"/>
      <c r="D7" s="278"/>
      <c r="E7" s="299"/>
      <c r="F7" s="278"/>
      <c r="G7" s="299"/>
      <c r="H7" s="278"/>
      <c r="I7" s="299"/>
      <c r="J7" s="278"/>
      <c r="K7" s="278"/>
      <c r="L7" s="278"/>
      <c r="M7" s="278"/>
      <c r="N7" s="267">
        <f t="shared" si="0"/>
        <v>16000</v>
      </c>
    </row>
    <row r="8" spans="1:18">
      <c r="A8" s="11" t="s">
        <v>165</v>
      </c>
      <c r="B8" s="300"/>
      <c r="C8" s="300">
        <v>20000</v>
      </c>
      <c r="D8" s="300"/>
      <c r="E8" s="300"/>
      <c r="F8" s="300"/>
      <c r="G8" s="300"/>
      <c r="H8" s="300"/>
      <c r="I8" s="300"/>
      <c r="J8" s="301"/>
      <c r="K8" s="301"/>
      <c r="L8" s="301"/>
      <c r="M8" s="280"/>
      <c r="N8" s="281">
        <f t="shared" si="0"/>
        <v>20000</v>
      </c>
    </row>
    <row r="9" spans="1:18">
      <c r="A9" s="13" t="s">
        <v>191</v>
      </c>
      <c r="B9" s="300"/>
      <c r="C9" s="300"/>
      <c r="D9" s="300">
        <v>1231.2</v>
      </c>
      <c r="E9" s="300"/>
      <c r="F9" s="300"/>
      <c r="G9" s="300"/>
      <c r="H9" s="300"/>
      <c r="I9" s="300"/>
      <c r="J9" s="300"/>
      <c r="K9" s="300"/>
      <c r="L9" s="300"/>
      <c r="M9" s="302"/>
      <c r="N9" s="281">
        <f t="shared" si="0"/>
        <v>1231.2</v>
      </c>
    </row>
    <row r="10" spans="1:18">
      <c r="A10" s="3" t="s">
        <v>199</v>
      </c>
      <c r="B10" s="303"/>
      <c r="C10" s="303"/>
      <c r="D10" s="303">
        <f>5600+5600+5600+5600</f>
        <v>22400</v>
      </c>
      <c r="E10" s="303"/>
      <c r="F10" s="303"/>
      <c r="G10" s="303"/>
      <c r="H10" s="303"/>
      <c r="I10" s="303"/>
      <c r="J10" s="303"/>
      <c r="K10" s="303"/>
      <c r="L10" s="303"/>
      <c r="M10" s="304"/>
      <c r="N10" s="281">
        <f t="shared" si="0"/>
        <v>22400</v>
      </c>
    </row>
    <row r="11" spans="1:18">
      <c r="A11" s="11" t="s">
        <v>216</v>
      </c>
      <c r="B11" s="278"/>
      <c r="C11" s="278"/>
      <c r="D11" s="278"/>
      <c r="E11" s="299">
        <v>300000</v>
      </c>
      <c r="F11" s="278"/>
      <c r="G11" s="299"/>
      <c r="H11" s="278"/>
      <c r="I11" s="299"/>
      <c r="J11" s="278"/>
      <c r="K11" s="278"/>
      <c r="L11" s="278"/>
      <c r="M11" s="267"/>
      <c r="N11" s="281">
        <f t="shared" si="0"/>
        <v>300000</v>
      </c>
    </row>
    <row r="12" spans="1:18">
      <c r="A12" s="221" t="s">
        <v>219</v>
      </c>
      <c r="B12" s="305"/>
      <c r="C12" s="305"/>
      <c r="D12" s="296"/>
      <c r="E12" s="264">
        <f>52160+54200</f>
        <v>106360</v>
      </c>
      <c r="F12" s="296"/>
      <c r="G12" s="296"/>
      <c r="H12" s="296"/>
      <c r="I12" s="296"/>
      <c r="J12" s="296"/>
      <c r="K12" s="296"/>
      <c r="L12" s="296"/>
      <c r="M12" s="296"/>
      <c r="N12" s="281">
        <f t="shared" si="0"/>
        <v>106360</v>
      </c>
    </row>
    <row r="13" spans="1:18">
      <c r="A13" s="3" t="s">
        <v>221</v>
      </c>
      <c r="B13" s="264"/>
      <c r="C13" s="264"/>
      <c r="D13" s="264"/>
      <c r="E13" s="264">
        <v>12169</v>
      </c>
      <c r="F13" s="264"/>
      <c r="G13" s="298"/>
      <c r="H13" s="264"/>
      <c r="I13" s="298"/>
      <c r="J13" s="264"/>
      <c r="K13" s="264"/>
      <c r="L13" s="264"/>
      <c r="M13" s="306"/>
      <c r="N13" s="281">
        <f t="shared" si="0"/>
        <v>12169</v>
      </c>
    </row>
    <row r="14" spans="1:18">
      <c r="A14" s="3"/>
      <c r="B14" s="264"/>
      <c r="C14" s="264"/>
      <c r="D14" s="264"/>
      <c r="E14" s="264"/>
      <c r="F14" s="264"/>
      <c r="G14" s="298"/>
      <c r="H14" s="264"/>
      <c r="I14" s="264"/>
      <c r="J14" s="264"/>
      <c r="K14" s="264"/>
      <c r="L14" s="264"/>
      <c r="M14" s="306"/>
      <c r="N14" s="281">
        <f t="shared" si="0"/>
        <v>0</v>
      </c>
    </row>
    <row r="15" spans="1:18">
      <c r="A15" s="3"/>
      <c r="B15" s="264"/>
      <c r="C15" s="264"/>
      <c r="D15" s="264"/>
      <c r="E15" s="264"/>
      <c r="F15" s="264"/>
      <c r="G15" s="298"/>
      <c r="H15" s="264"/>
      <c r="I15" s="264"/>
      <c r="J15" s="264"/>
      <c r="K15" s="264"/>
      <c r="L15" s="264"/>
      <c r="M15" s="306"/>
      <c r="N15" s="281">
        <f t="shared" si="0"/>
        <v>0</v>
      </c>
    </row>
    <row r="16" spans="1:18">
      <c r="A16" s="3"/>
      <c r="B16" s="264"/>
      <c r="C16" s="264"/>
      <c r="D16" s="264"/>
      <c r="E16" s="298"/>
      <c r="F16" s="264"/>
      <c r="G16" s="298"/>
      <c r="H16" s="264"/>
      <c r="I16" s="298"/>
      <c r="J16" s="264"/>
      <c r="K16" s="264"/>
      <c r="L16" s="264"/>
      <c r="M16" s="306"/>
      <c r="N16" s="281">
        <f t="shared" si="0"/>
        <v>0</v>
      </c>
    </row>
    <row r="17" spans="1:14">
      <c r="A17" s="3"/>
      <c r="B17" s="264"/>
      <c r="C17" s="264"/>
      <c r="D17" s="264"/>
      <c r="E17" s="264"/>
      <c r="F17" s="264"/>
      <c r="G17" s="298"/>
      <c r="H17" s="264"/>
      <c r="I17" s="298"/>
      <c r="J17" s="264"/>
      <c r="K17" s="264"/>
      <c r="L17" s="264"/>
      <c r="M17" s="306"/>
      <c r="N17" s="281">
        <f t="shared" si="0"/>
        <v>0</v>
      </c>
    </row>
    <row r="18" spans="1:14">
      <c r="A18" s="3"/>
      <c r="B18" s="264"/>
      <c r="C18" s="264"/>
      <c r="D18" s="264"/>
      <c r="E18" s="264"/>
      <c r="F18" s="264"/>
      <c r="G18" s="298"/>
      <c r="H18" s="264"/>
      <c r="I18" s="264"/>
      <c r="J18" s="264"/>
      <c r="K18" s="264"/>
      <c r="L18" s="264"/>
      <c r="M18" s="306"/>
      <c r="N18" s="281">
        <f t="shared" si="0"/>
        <v>0</v>
      </c>
    </row>
    <row r="19" spans="1:14">
      <c r="A19" s="3"/>
      <c r="B19" s="264"/>
      <c r="C19" s="264"/>
      <c r="D19" s="264"/>
      <c r="E19" s="264"/>
      <c r="F19" s="264"/>
      <c r="G19" s="298"/>
      <c r="H19" s="264"/>
      <c r="I19" s="264"/>
      <c r="J19" s="264"/>
      <c r="K19" s="264"/>
      <c r="L19" s="264"/>
      <c r="M19" s="306"/>
      <c r="N19" s="281">
        <f t="shared" si="0"/>
        <v>0</v>
      </c>
    </row>
    <row r="20" spans="1:14">
      <c r="A20" s="9"/>
      <c r="B20" s="93"/>
      <c r="C20" s="190"/>
      <c r="D20" s="93"/>
      <c r="E20" s="190"/>
      <c r="F20" s="190"/>
      <c r="G20" s="190"/>
      <c r="H20" s="190"/>
      <c r="I20" s="190"/>
      <c r="J20" s="190"/>
      <c r="K20" s="190"/>
      <c r="L20" s="196"/>
      <c r="M20" s="196"/>
      <c r="N20" s="281">
        <f t="shared" si="0"/>
        <v>0</v>
      </c>
    </row>
    <row r="21" spans="1:14">
      <c r="A21" s="4"/>
      <c r="B21" s="93"/>
      <c r="C21" s="190"/>
      <c r="D21" s="93"/>
      <c r="E21" s="190"/>
      <c r="F21" s="190"/>
      <c r="G21" s="190"/>
      <c r="H21" s="190"/>
      <c r="I21" s="190"/>
      <c r="J21" s="190"/>
      <c r="K21" s="190"/>
      <c r="L21" s="196"/>
      <c r="M21" s="196"/>
      <c r="N21" s="281">
        <f t="shared" si="0"/>
        <v>0</v>
      </c>
    </row>
    <row r="22" spans="1:14">
      <c r="A22" s="254"/>
      <c r="B22" s="278"/>
      <c r="C22" s="278"/>
      <c r="D22" s="278"/>
      <c r="E22" s="299"/>
      <c r="F22" s="299"/>
      <c r="G22" s="299"/>
      <c r="H22" s="278"/>
      <c r="I22" s="299"/>
      <c r="J22" s="278"/>
      <c r="K22" s="278"/>
      <c r="L22" s="278"/>
      <c r="M22" s="267"/>
      <c r="N22" s="281">
        <f t="shared" si="0"/>
        <v>0</v>
      </c>
    </row>
    <row r="23" spans="1:14">
      <c r="A23" s="254"/>
      <c r="B23" s="278"/>
      <c r="C23" s="278"/>
      <c r="D23" s="278"/>
      <c r="E23" s="299"/>
      <c r="F23" s="299"/>
      <c r="G23" s="299"/>
      <c r="H23" s="278"/>
      <c r="I23" s="299"/>
      <c r="J23" s="278"/>
      <c r="K23" s="278"/>
      <c r="L23" s="278"/>
      <c r="M23" s="267"/>
      <c r="N23" s="281">
        <f t="shared" si="0"/>
        <v>0</v>
      </c>
    </row>
    <row r="24" spans="1:14">
      <c r="A24" s="11"/>
      <c r="B24" s="278"/>
      <c r="C24" s="278"/>
      <c r="D24" s="278"/>
      <c r="E24" s="299"/>
      <c r="F24" s="278"/>
      <c r="G24" s="299"/>
      <c r="H24" s="278"/>
      <c r="I24" s="299"/>
      <c r="J24" s="278"/>
      <c r="K24" s="278"/>
      <c r="L24" s="278"/>
      <c r="M24" s="267"/>
      <c r="N24" s="281">
        <f t="shared" si="0"/>
        <v>0</v>
      </c>
    </row>
    <row r="25" spans="1:14">
      <c r="A25" s="2"/>
      <c r="B25" s="93"/>
      <c r="C25" s="190"/>
      <c r="D25" s="93"/>
      <c r="E25" s="190"/>
      <c r="F25" s="190"/>
      <c r="G25" s="190"/>
      <c r="H25" s="190"/>
      <c r="I25" s="190"/>
      <c r="J25" s="190"/>
      <c r="K25" s="190"/>
      <c r="L25" s="196"/>
      <c r="M25" s="196"/>
      <c r="N25" s="281">
        <f t="shared" si="0"/>
        <v>0</v>
      </c>
    </row>
    <row r="26" spans="1:14">
      <c r="A26" s="11"/>
      <c r="B26" s="93"/>
      <c r="C26" s="190"/>
      <c r="D26" s="93"/>
      <c r="E26" s="190"/>
      <c r="F26" s="190"/>
      <c r="G26" s="190"/>
      <c r="H26" s="190"/>
      <c r="I26" s="190"/>
      <c r="J26" s="190"/>
      <c r="K26" s="190"/>
      <c r="L26" s="196"/>
      <c r="M26" s="196"/>
      <c r="N26" s="281">
        <f t="shared" si="0"/>
        <v>0</v>
      </c>
    </row>
    <row r="27" spans="1:14">
      <c r="A27" s="247"/>
      <c r="B27" s="99"/>
      <c r="C27" s="56"/>
      <c r="D27" s="56"/>
      <c r="E27" s="100"/>
      <c r="F27" s="88"/>
      <c r="G27" s="180"/>
      <c r="H27" s="6"/>
      <c r="I27" s="9"/>
      <c r="J27" s="6"/>
      <c r="K27" s="6"/>
      <c r="L27" s="19"/>
      <c r="M27" s="19"/>
      <c r="N27" s="281">
        <f t="shared" si="0"/>
        <v>0</v>
      </c>
    </row>
    <row r="28" spans="1:14">
      <c r="A28" s="248"/>
      <c r="B28" s="193"/>
      <c r="C28" s="193"/>
      <c r="D28" s="193"/>
      <c r="E28" s="194"/>
      <c r="F28" s="193"/>
      <c r="G28" s="194"/>
      <c r="H28" s="90"/>
      <c r="I28" s="91"/>
      <c r="J28" s="90"/>
      <c r="K28" s="90"/>
      <c r="L28" s="92"/>
      <c r="M28" s="92"/>
      <c r="N28" s="281">
        <f t="shared" si="0"/>
        <v>0</v>
      </c>
    </row>
    <row r="29" spans="1:14">
      <c r="A29" s="218"/>
      <c r="B29" s="93"/>
      <c r="C29" s="93"/>
      <c r="D29" s="190"/>
      <c r="E29" s="181"/>
      <c r="F29" s="190"/>
      <c r="G29" s="191"/>
      <c r="H29" s="17"/>
      <c r="I29" s="10"/>
      <c r="J29" s="17"/>
      <c r="K29" s="17"/>
      <c r="L29" s="18"/>
      <c r="M29" s="18"/>
      <c r="N29" s="281">
        <f t="shared" si="0"/>
        <v>0</v>
      </c>
    </row>
    <row r="30" spans="1:14">
      <c r="A30" s="218"/>
      <c r="B30" s="99"/>
      <c r="C30" s="88"/>
      <c r="D30" s="88"/>
      <c r="E30" s="100"/>
      <c r="F30" s="193"/>
      <c r="G30" s="180"/>
      <c r="H30" s="6"/>
      <c r="I30" s="9"/>
      <c r="J30" s="6"/>
      <c r="K30" s="6"/>
      <c r="L30" s="19"/>
      <c r="M30" s="19"/>
      <c r="N30" s="281">
        <f t="shared" si="0"/>
        <v>0</v>
      </c>
    </row>
    <row r="31" spans="1:14">
      <c r="A31" s="218"/>
      <c r="B31" s="99"/>
      <c r="C31" s="88"/>
      <c r="D31" s="88"/>
      <c r="E31" s="100"/>
      <c r="F31" s="88"/>
      <c r="G31" s="180"/>
      <c r="H31" s="6"/>
      <c r="I31" s="9"/>
      <c r="J31" s="6"/>
      <c r="K31" s="6"/>
      <c r="L31" s="19"/>
      <c r="M31" s="19"/>
      <c r="N31" s="281">
        <f t="shared" si="0"/>
        <v>0</v>
      </c>
    </row>
    <row r="32" spans="1:14">
      <c r="A32" s="249"/>
      <c r="B32" s="99"/>
      <c r="C32" s="88"/>
      <c r="D32" s="88"/>
      <c r="E32" s="100"/>
      <c r="F32" s="88"/>
      <c r="G32" s="180"/>
      <c r="H32" s="6"/>
      <c r="I32" s="9"/>
      <c r="J32" s="6"/>
      <c r="K32" s="6"/>
      <c r="L32" s="19"/>
      <c r="M32" s="19"/>
      <c r="N32" s="281">
        <f t="shared" si="0"/>
        <v>0</v>
      </c>
    </row>
    <row r="33" spans="1:14">
      <c r="A33" s="249"/>
      <c r="B33" s="99"/>
      <c r="C33" s="88"/>
      <c r="D33" s="88"/>
      <c r="E33" s="100"/>
      <c r="F33" s="88"/>
      <c r="G33" s="180"/>
      <c r="H33" s="6"/>
      <c r="I33" s="9"/>
      <c r="J33" s="6"/>
      <c r="K33" s="6"/>
      <c r="L33" s="19"/>
      <c r="M33" s="19"/>
      <c r="N33" s="281">
        <f t="shared" ref="N33:N51" si="1">SUM(B33:M33)</f>
        <v>0</v>
      </c>
    </row>
    <row r="34" spans="1:14">
      <c r="A34" s="249"/>
      <c r="B34" s="99"/>
      <c r="C34" s="88"/>
      <c r="D34" s="88"/>
      <c r="E34" s="100"/>
      <c r="F34" s="88"/>
      <c r="G34" s="180"/>
      <c r="H34" s="6"/>
      <c r="I34" s="9"/>
      <c r="J34" s="6"/>
      <c r="K34" s="6"/>
      <c r="L34" s="19"/>
      <c r="M34" s="19"/>
      <c r="N34" s="281">
        <f t="shared" si="1"/>
        <v>0</v>
      </c>
    </row>
    <row r="35" spans="1:14">
      <c r="A35" s="249"/>
      <c r="B35" s="99"/>
      <c r="C35" s="88"/>
      <c r="D35" s="88"/>
      <c r="E35" s="193"/>
      <c r="F35" s="88"/>
      <c r="G35" s="180"/>
      <c r="H35" s="6"/>
      <c r="I35" s="9"/>
      <c r="J35" s="6"/>
      <c r="K35" s="6"/>
      <c r="L35" s="19"/>
      <c r="M35" s="19"/>
      <c r="N35" s="281">
        <f t="shared" si="1"/>
        <v>0</v>
      </c>
    </row>
    <row r="36" spans="1:14">
      <c r="A36" s="249"/>
      <c r="B36" s="99"/>
      <c r="C36" s="88"/>
      <c r="D36" s="88"/>
      <c r="E36" s="194"/>
      <c r="F36" s="88"/>
      <c r="G36" s="180"/>
      <c r="H36" s="6"/>
      <c r="I36" s="9"/>
      <c r="J36" s="6"/>
      <c r="K36" s="6"/>
      <c r="L36" s="19"/>
      <c r="M36" s="19"/>
      <c r="N36" s="281">
        <f t="shared" si="1"/>
        <v>0</v>
      </c>
    </row>
    <row r="37" spans="1:14">
      <c r="A37" s="249"/>
      <c r="B37" s="99"/>
      <c r="C37" s="88"/>
      <c r="D37" s="88"/>
      <c r="E37" s="194"/>
      <c r="F37" s="88"/>
      <c r="G37" s="180"/>
      <c r="H37" s="6"/>
      <c r="I37" s="9"/>
      <c r="J37" s="6"/>
      <c r="K37" s="6"/>
      <c r="L37" s="19"/>
      <c r="M37" s="19"/>
      <c r="N37" s="281">
        <f t="shared" si="1"/>
        <v>0</v>
      </c>
    </row>
    <row r="38" spans="1:14">
      <c r="A38" s="249"/>
      <c r="B38" s="99"/>
      <c r="C38" s="88"/>
      <c r="D38" s="88"/>
      <c r="E38" s="194"/>
      <c r="F38" s="88"/>
      <c r="G38" s="180"/>
      <c r="H38" s="6"/>
      <c r="I38" s="9"/>
      <c r="J38" s="6"/>
      <c r="K38" s="6"/>
      <c r="L38" s="19"/>
      <c r="M38" s="19"/>
      <c r="N38" s="281">
        <f t="shared" si="1"/>
        <v>0</v>
      </c>
    </row>
    <row r="39" spans="1:14">
      <c r="A39" s="249"/>
      <c r="B39" s="99"/>
      <c r="C39" s="88"/>
      <c r="D39" s="88"/>
      <c r="E39" s="194"/>
      <c r="F39" s="88"/>
      <c r="G39" s="180"/>
      <c r="H39" s="6"/>
      <c r="I39" s="9"/>
      <c r="J39" s="6"/>
      <c r="K39" s="6"/>
      <c r="L39" s="19"/>
      <c r="M39" s="19"/>
      <c r="N39" s="281">
        <f t="shared" si="1"/>
        <v>0</v>
      </c>
    </row>
    <row r="40" spans="1:14">
      <c r="A40" s="249"/>
      <c r="B40" s="99"/>
      <c r="C40" s="88"/>
      <c r="D40" s="88"/>
      <c r="E40" s="194"/>
      <c r="F40" s="88"/>
      <c r="G40" s="180"/>
      <c r="H40" s="6"/>
      <c r="I40" s="9"/>
      <c r="J40" s="6"/>
      <c r="K40" s="6"/>
      <c r="L40" s="19"/>
      <c r="M40" s="19"/>
      <c r="N40" s="281">
        <f t="shared" si="1"/>
        <v>0</v>
      </c>
    </row>
    <row r="41" spans="1:14">
      <c r="A41" s="249"/>
      <c r="B41" s="99"/>
      <c r="C41" s="88"/>
      <c r="D41" s="88"/>
      <c r="E41" s="194"/>
      <c r="F41" s="88"/>
      <c r="G41" s="180"/>
      <c r="H41" s="6"/>
      <c r="I41" s="9"/>
      <c r="J41" s="6"/>
      <c r="K41" s="6"/>
      <c r="L41" s="19"/>
      <c r="M41" s="19"/>
      <c r="N41" s="281">
        <f t="shared" si="1"/>
        <v>0</v>
      </c>
    </row>
    <row r="42" spans="1:14">
      <c r="A42" s="249"/>
      <c r="B42" s="99"/>
      <c r="C42" s="88"/>
      <c r="D42" s="88"/>
      <c r="E42" s="194"/>
      <c r="F42" s="88"/>
      <c r="G42" s="180"/>
      <c r="H42" s="6"/>
      <c r="I42" s="9"/>
      <c r="J42" s="6"/>
      <c r="K42" s="6"/>
      <c r="L42" s="19"/>
      <c r="M42" s="19"/>
      <c r="N42" s="281">
        <f t="shared" si="1"/>
        <v>0</v>
      </c>
    </row>
    <row r="43" spans="1:14">
      <c r="A43" s="249"/>
      <c r="B43" s="99"/>
      <c r="C43" s="88"/>
      <c r="D43" s="88"/>
      <c r="E43" s="194"/>
      <c r="F43" s="88"/>
      <c r="G43" s="180"/>
      <c r="H43" s="6"/>
      <c r="I43" s="9"/>
      <c r="J43" s="6"/>
      <c r="K43" s="6"/>
      <c r="L43" s="19"/>
      <c r="M43" s="19"/>
      <c r="N43" s="281">
        <f t="shared" si="1"/>
        <v>0</v>
      </c>
    </row>
    <row r="44" spans="1:14">
      <c r="A44" s="249"/>
      <c r="B44" s="99"/>
      <c r="C44" s="88"/>
      <c r="D44" s="88"/>
      <c r="E44" s="194"/>
      <c r="F44" s="88"/>
      <c r="G44" s="180"/>
      <c r="H44" s="6"/>
      <c r="I44" s="9"/>
      <c r="J44" s="6"/>
      <c r="K44" s="6"/>
      <c r="L44" s="19"/>
      <c r="M44" s="19"/>
      <c r="N44" s="281">
        <f t="shared" si="1"/>
        <v>0</v>
      </c>
    </row>
    <row r="45" spans="1:14">
      <c r="A45" s="249"/>
      <c r="B45" s="99"/>
      <c r="C45" s="88"/>
      <c r="D45" s="88"/>
      <c r="E45" s="194"/>
      <c r="F45" s="88"/>
      <c r="G45" s="180"/>
      <c r="H45" s="6"/>
      <c r="I45" s="9"/>
      <c r="J45" s="6"/>
      <c r="K45" s="6"/>
      <c r="L45" s="19"/>
      <c r="M45" s="19"/>
      <c r="N45" s="281">
        <f t="shared" si="1"/>
        <v>0</v>
      </c>
    </row>
    <row r="46" spans="1:14">
      <c r="A46" s="249"/>
      <c r="B46" s="99"/>
      <c r="C46" s="88"/>
      <c r="D46" s="88"/>
      <c r="E46" s="194"/>
      <c r="F46" s="88"/>
      <c r="G46" s="180"/>
      <c r="H46" s="6"/>
      <c r="I46" s="9"/>
      <c r="J46" s="6"/>
      <c r="K46" s="6"/>
      <c r="L46" s="19"/>
      <c r="M46" s="19"/>
      <c r="N46" s="281">
        <f t="shared" si="1"/>
        <v>0</v>
      </c>
    </row>
    <row r="47" spans="1:14">
      <c r="A47" s="249"/>
      <c r="B47" s="99"/>
      <c r="C47" s="88"/>
      <c r="D47" s="88"/>
      <c r="E47" s="194"/>
      <c r="F47" s="88"/>
      <c r="G47" s="180"/>
      <c r="H47" s="6"/>
      <c r="I47" s="9"/>
      <c r="J47" s="6"/>
      <c r="K47" s="6"/>
      <c r="L47" s="19"/>
      <c r="M47" s="19"/>
      <c r="N47" s="281">
        <f t="shared" si="1"/>
        <v>0</v>
      </c>
    </row>
    <row r="48" spans="1:14">
      <c r="A48" s="249"/>
      <c r="B48" s="99"/>
      <c r="C48" s="88"/>
      <c r="D48" s="88"/>
      <c r="E48" s="194"/>
      <c r="F48" s="88"/>
      <c r="G48" s="180"/>
      <c r="H48" s="6"/>
      <c r="I48" s="9"/>
      <c r="J48" s="6"/>
      <c r="K48" s="6"/>
      <c r="L48" s="19"/>
      <c r="M48" s="19"/>
      <c r="N48" s="281">
        <f t="shared" si="1"/>
        <v>0</v>
      </c>
    </row>
    <row r="49" spans="1:14">
      <c r="A49" s="249"/>
      <c r="B49" s="99"/>
      <c r="C49" s="88"/>
      <c r="D49" s="88"/>
      <c r="E49" s="194"/>
      <c r="F49" s="88"/>
      <c r="G49" s="180"/>
      <c r="H49" s="6"/>
      <c r="I49" s="9"/>
      <c r="J49" s="6"/>
      <c r="K49" s="6"/>
      <c r="L49" s="19"/>
      <c r="M49" s="19"/>
      <c r="N49" s="281">
        <f t="shared" si="1"/>
        <v>0</v>
      </c>
    </row>
    <row r="50" spans="1:14">
      <c r="A50" s="249"/>
      <c r="B50" s="99"/>
      <c r="C50" s="88"/>
      <c r="D50" s="88"/>
      <c r="E50" s="194"/>
      <c r="F50" s="88"/>
      <c r="G50" s="180"/>
      <c r="H50" s="6"/>
      <c r="I50" s="9"/>
      <c r="J50" s="6"/>
      <c r="K50" s="6"/>
      <c r="L50" s="19"/>
      <c r="M50" s="19"/>
      <c r="N50" s="281">
        <f t="shared" si="1"/>
        <v>0</v>
      </c>
    </row>
    <row r="51" spans="1:14">
      <c r="A51" s="3"/>
      <c r="B51" s="264"/>
      <c r="C51" s="264"/>
      <c r="D51" s="264"/>
      <c r="E51" s="264"/>
      <c r="F51" s="264"/>
      <c r="G51" s="298"/>
      <c r="H51" s="264"/>
      <c r="I51" s="298"/>
      <c r="J51" s="264"/>
      <c r="K51" s="264"/>
      <c r="L51" s="264"/>
      <c r="M51" s="264"/>
      <c r="N51" s="267">
        <f t="shared" si="1"/>
        <v>0</v>
      </c>
    </row>
    <row r="52" spans="1:14">
      <c r="A52" s="11"/>
      <c r="B52" s="278"/>
      <c r="C52" s="278"/>
      <c r="D52" s="278"/>
      <c r="E52" s="299"/>
      <c r="F52" s="278"/>
      <c r="G52" s="299"/>
      <c r="H52" s="278"/>
      <c r="I52" s="299"/>
      <c r="J52" s="278"/>
      <c r="K52" s="278"/>
      <c r="L52" s="278"/>
      <c r="M52" s="267"/>
      <c r="N52" s="281">
        <f t="shared" ref="N52:N63" si="2">SUM(B52:M52)</f>
        <v>0</v>
      </c>
    </row>
    <row r="53" spans="1:14">
      <c r="A53" s="327"/>
      <c r="B53" s="264"/>
      <c r="C53" s="264"/>
      <c r="D53" s="264"/>
      <c r="E53" s="264"/>
      <c r="F53" s="307"/>
      <c r="G53" s="298"/>
      <c r="H53" s="264"/>
      <c r="I53" s="298"/>
      <c r="J53" s="264"/>
      <c r="K53" s="264"/>
      <c r="L53" s="264"/>
      <c r="M53" s="306"/>
      <c r="N53" s="281">
        <f t="shared" si="2"/>
        <v>0</v>
      </c>
    </row>
    <row r="54" spans="1:14">
      <c r="A54" s="221"/>
      <c r="B54" s="264"/>
      <c r="C54" s="264"/>
      <c r="D54" s="264"/>
      <c r="E54" s="264"/>
      <c r="F54" s="298"/>
      <c r="G54" s="298"/>
      <c r="H54" s="264"/>
      <c r="I54" s="298"/>
      <c r="J54" s="264"/>
      <c r="K54" s="264"/>
      <c r="L54" s="278"/>
      <c r="M54" s="306"/>
      <c r="N54" s="281">
        <f t="shared" si="2"/>
        <v>0</v>
      </c>
    </row>
    <row r="55" spans="1:14">
      <c r="A55" s="255"/>
      <c r="B55" s="264"/>
      <c r="C55" s="264"/>
      <c r="D55" s="264"/>
      <c r="E55" s="264"/>
      <c r="F55" s="307"/>
      <c r="G55" s="298"/>
      <c r="H55" s="264"/>
      <c r="I55" s="298"/>
      <c r="J55" s="264"/>
      <c r="K55" s="264"/>
      <c r="L55" s="278"/>
      <c r="M55" s="306"/>
      <c r="N55" s="281">
        <f t="shared" si="2"/>
        <v>0</v>
      </c>
    </row>
    <row r="56" spans="1:14">
      <c r="A56" s="17"/>
      <c r="B56" s="264"/>
      <c r="C56" s="264"/>
      <c r="D56" s="264"/>
      <c r="E56" s="264"/>
      <c r="F56" s="264"/>
      <c r="G56" s="264"/>
      <c r="H56" s="264"/>
      <c r="I56" s="264"/>
      <c r="J56" s="264"/>
      <c r="K56" s="264"/>
      <c r="L56" s="264"/>
      <c r="M56" s="264"/>
      <c r="N56" s="281">
        <f t="shared" si="2"/>
        <v>0</v>
      </c>
    </row>
    <row r="57" spans="1:14">
      <c r="A57" s="17"/>
      <c r="B57" s="264"/>
      <c r="C57" s="264"/>
      <c r="D57" s="264"/>
      <c r="E57" s="264"/>
      <c r="F57" s="264"/>
      <c r="G57" s="264"/>
      <c r="H57" s="264"/>
      <c r="I57" s="264"/>
      <c r="J57" s="264"/>
      <c r="K57" s="264"/>
      <c r="L57" s="264"/>
      <c r="M57" s="264"/>
      <c r="N57" s="281">
        <f t="shared" si="2"/>
        <v>0</v>
      </c>
    </row>
    <row r="58" spans="1:14">
      <c r="A58" s="17"/>
      <c r="B58" s="264"/>
      <c r="C58" s="264"/>
      <c r="D58" s="264"/>
      <c r="E58" s="264"/>
      <c r="F58" s="264"/>
      <c r="G58" s="264"/>
      <c r="H58" s="264"/>
      <c r="I58" s="264"/>
      <c r="J58" s="264"/>
      <c r="K58" s="264"/>
      <c r="L58" s="264"/>
      <c r="M58" s="264"/>
      <c r="N58" s="281">
        <f t="shared" si="2"/>
        <v>0</v>
      </c>
    </row>
    <row r="59" spans="1:14">
      <c r="A59" s="4"/>
      <c r="B59" s="264"/>
      <c r="C59" s="296"/>
      <c r="D59" s="264"/>
      <c r="E59" s="296"/>
      <c r="F59" s="296"/>
      <c r="G59" s="296"/>
      <c r="H59" s="296"/>
      <c r="I59" s="296"/>
      <c r="J59" s="296"/>
      <c r="K59" s="296"/>
      <c r="L59" s="296"/>
      <c r="M59" s="296"/>
      <c r="N59" s="281">
        <f t="shared" si="2"/>
        <v>0</v>
      </c>
    </row>
    <row r="60" spans="1:14">
      <c r="A60" s="4"/>
      <c r="B60" s="264"/>
      <c r="C60" s="296"/>
      <c r="D60" s="264"/>
      <c r="E60" s="296"/>
      <c r="F60" s="296"/>
      <c r="G60" s="296"/>
      <c r="H60" s="296"/>
      <c r="I60" s="296"/>
      <c r="J60" s="296"/>
      <c r="K60" s="296"/>
      <c r="L60" s="296"/>
      <c r="M60" s="296"/>
      <c r="N60" s="281">
        <f t="shared" si="2"/>
        <v>0</v>
      </c>
    </row>
    <row r="61" spans="1:14">
      <c r="A61" s="4"/>
      <c r="B61" s="264"/>
      <c r="C61" s="296"/>
      <c r="D61" s="264"/>
      <c r="E61" s="296"/>
      <c r="F61" s="296"/>
      <c r="G61" s="296"/>
      <c r="H61" s="296"/>
      <c r="I61" s="296"/>
      <c r="J61" s="296"/>
      <c r="K61" s="296"/>
      <c r="L61" s="296"/>
      <c r="M61" s="296"/>
      <c r="N61" s="281">
        <f t="shared" si="2"/>
        <v>0</v>
      </c>
    </row>
    <row r="62" spans="1:14">
      <c r="A62" s="254"/>
      <c r="B62" s="99"/>
      <c r="C62" s="99"/>
      <c r="D62" s="99"/>
      <c r="E62" s="100"/>
      <c r="F62" s="93"/>
      <c r="G62" s="100"/>
      <c r="H62" s="99"/>
      <c r="I62" s="100"/>
      <c r="J62" s="99"/>
      <c r="K62" s="99"/>
      <c r="L62" s="236"/>
      <c r="M62" s="31"/>
      <c r="N62" s="281">
        <f t="shared" si="2"/>
        <v>0</v>
      </c>
    </row>
    <row r="63" spans="1:14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3"/>
      <c r="N63" s="281">
        <f t="shared" si="2"/>
        <v>0</v>
      </c>
    </row>
    <row r="64" spans="1:14">
      <c r="A64" s="5" t="s">
        <v>14</v>
      </c>
      <c r="B64" s="225">
        <f>SUM(B3:B63)</f>
        <v>161412.76</v>
      </c>
      <c r="C64" s="225">
        <f t="shared" ref="C64:N64" si="3">SUM(C3:C63)</f>
        <v>20000</v>
      </c>
      <c r="D64" s="225">
        <f t="shared" si="3"/>
        <v>53301.2</v>
      </c>
      <c r="E64" s="225">
        <f t="shared" si="3"/>
        <v>418529</v>
      </c>
      <c r="F64" s="225">
        <f t="shared" si="3"/>
        <v>0</v>
      </c>
      <c r="G64" s="225">
        <f t="shared" si="3"/>
        <v>0</v>
      </c>
      <c r="H64" s="225">
        <f t="shared" si="3"/>
        <v>0</v>
      </c>
      <c r="I64" s="225">
        <f t="shared" si="3"/>
        <v>0</v>
      </c>
      <c r="J64" s="225">
        <f t="shared" si="3"/>
        <v>0</v>
      </c>
      <c r="K64" s="225">
        <f t="shared" si="3"/>
        <v>0</v>
      </c>
      <c r="L64" s="225">
        <f t="shared" si="3"/>
        <v>0</v>
      </c>
      <c r="M64" s="225">
        <f t="shared" si="3"/>
        <v>0</v>
      </c>
      <c r="N64" s="225">
        <f t="shared" si="3"/>
        <v>653242.96</v>
      </c>
    </row>
    <row r="66" spans="14:14">
      <c r="N66" s="234">
        <f>SUM(B64:M64)-N64</f>
        <v>0</v>
      </c>
    </row>
  </sheetData>
  <phoneticPr fontId="31" type="noConversion"/>
  <pageMargins left="0.25" right="0.25" top="0.75" bottom="0.75" header="0.3" footer="0.3"/>
  <pageSetup paperSize="9" scale="94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theme="3" tint="0.79998168889431442"/>
    <pageSetUpPr fitToPage="1"/>
  </sheetPr>
  <dimension ref="A1:N19"/>
  <sheetViews>
    <sheetView workbookViewId="0">
      <selection activeCell="E7" sqref="E7"/>
    </sheetView>
  </sheetViews>
  <sheetFormatPr defaultRowHeight="15"/>
  <cols>
    <col min="1" max="1" width="38.28515625" bestFit="1" customWidth="1"/>
    <col min="2" max="2" width="11.28515625" style="30" customWidth="1"/>
    <col min="3" max="3" width="11.140625" customWidth="1"/>
    <col min="4" max="4" width="9" customWidth="1"/>
    <col min="5" max="5" width="9.140625" style="30"/>
    <col min="6" max="6" width="9.7109375" customWidth="1"/>
  </cols>
  <sheetData>
    <row r="1" spans="1:14">
      <c r="A1" s="14" t="s">
        <v>25</v>
      </c>
      <c r="B1" s="25"/>
      <c r="C1" s="2"/>
      <c r="D1" s="2"/>
      <c r="E1" s="25"/>
      <c r="F1" s="27"/>
      <c r="G1" s="27" t="str">
        <f ca="1">'ВСЕ затраты в 2020-2021 гг'!C1</f>
        <v>2021-2022гг.</v>
      </c>
      <c r="H1" s="2"/>
      <c r="I1" s="2"/>
      <c r="J1" s="2"/>
      <c r="K1" s="2"/>
      <c r="L1" s="2"/>
      <c r="M1" s="2"/>
      <c r="N1" s="1"/>
    </row>
    <row r="2" spans="1:14">
      <c r="A2" s="1"/>
      <c r="B2" s="22" t="s">
        <v>1</v>
      </c>
      <c r="C2" s="22" t="s">
        <v>2</v>
      </c>
      <c r="D2" s="22" t="s">
        <v>3</v>
      </c>
      <c r="E2" s="23" t="s">
        <v>4</v>
      </c>
      <c r="F2" s="22" t="s">
        <v>5</v>
      </c>
      <c r="G2" s="23" t="s">
        <v>6</v>
      </c>
      <c r="H2" s="22" t="s">
        <v>7</v>
      </c>
      <c r="I2" s="23" t="s">
        <v>8</v>
      </c>
      <c r="J2" s="22" t="s">
        <v>9</v>
      </c>
      <c r="K2" s="22" t="s">
        <v>10</v>
      </c>
      <c r="L2" s="22" t="s">
        <v>11</v>
      </c>
      <c r="M2" s="22" t="s">
        <v>12</v>
      </c>
      <c r="N2" s="22" t="s">
        <v>14</v>
      </c>
    </row>
    <row r="3" spans="1:14">
      <c r="A3" s="2"/>
      <c r="B3" s="29"/>
      <c r="C3" s="29"/>
      <c r="D3" s="29"/>
      <c r="E3" s="28"/>
      <c r="F3" s="29"/>
      <c r="G3" s="28"/>
      <c r="H3" s="29"/>
      <c r="I3" s="28"/>
      <c r="J3" s="29"/>
      <c r="K3" s="29"/>
      <c r="L3" s="29"/>
      <c r="M3" s="29"/>
      <c r="N3" s="29"/>
    </row>
    <row r="4" spans="1:14">
      <c r="A4" s="244"/>
      <c r="B4" s="263"/>
      <c r="C4" s="88"/>
      <c r="D4" s="88"/>
      <c r="E4" s="100"/>
      <c r="F4" s="88"/>
      <c r="G4" s="180"/>
      <c r="H4" s="6"/>
      <c r="I4" s="9"/>
      <c r="J4" s="6"/>
      <c r="K4" s="6"/>
      <c r="L4" s="19"/>
      <c r="M4" s="19"/>
      <c r="N4" s="6">
        <f t="shared" ref="N4:N16" si="0">SUM(B4:M4)</f>
        <v>0</v>
      </c>
    </row>
    <row r="5" spans="1:14">
      <c r="A5" s="245" t="s">
        <v>125</v>
      </c>
      <c r="B5" s="195">
        <v>323087</v>
      </c>
      <c r="C5" s="195">
        <v>900000</v>
      </c>
      <c r="D5" s="53"/>
      <c r="E5" s="198"/>
      <c r="F5" s="195"/>
      <c r="G5" s="198"/>
      <c r="H5" s="94"/>
      <c r="I5" s="95"/>
      <c r="J5" s="94"/>
      <c r="K5" s="94"/>
      <c r="L5" s="96"/>
      <c r="M5" s="96"/>
      <c r="N5" s="6">
        <f t="shared" si="0"/>
        <v>1223087</v>
      </c>
    </row>
    <row r="6" spans="1:14">
      <c r="A6" s="245"/>
      <c r="B6" s="193"/>
      <c r="C6" s="193">
        <v>517595</v>
      </c>
      <c r="D6" s="195">
        <v>1473297.5</v>
      </c>
      <c r="E6" s="194">
        <v>282599</v>
      </c>
      <c r="F6" s="193"/>
      <c r="G6" s="194"/>
      <c r="H6" s="90"/>
      <c r="I6" s="91"/>
      <c r="J6" s="90"/>
      <c r="K6" s="90"/>
      <c r="L6" s="92"/>
      <c r="M6" s="92"/>
      <c r="N6" s="6">
        <f t="shared" si="0"/>
        <v>2273491.5</v>
      </c>
    </row>
    <row r="7" spans="1:14">
      <c r="A7" s="245"/>
      <c r="B7" s="99"/>
      <c r="C7" s="88"/>
      <c r="D7" s="88">
        <v>159547</v>
      </c>
      <c r="E7" s="100"/>
      <c r="F7" s="193"/>
      <c r="G7" s="180"/>
      <c r="H7" s="6"/>
      <c r="I7" s="9"/>
      <c r="J7" s="6"/>
      <c r="K7" s="6"/>
      <c r="L7" s="19"/>
      <c r="M7" s="19"/>
      <c r="N7" s="6">
        <f t="shared" si="0"/>
        <v>159547</v>
      </c>
    </row>
    <row r="8" spans="1:14">
      <c r="A8" s="244"/>
      <c r="B8" s="189"/>
      <c r="C8" s="190"/>
      <c r="D8" s="190">
        <v>558863</v>
      </c>
      <c r="E8" s="181"/>
      <c r="F8" s="190"/>
      <c r="G8" s="191"/>
      <c r="H8" s="17"/>
      <c r="I8" s="10"/>
      <c r="J8" s="17"/>
      <c r="K8" s="17"/>
      <c r="L8" s="18"/>
      <c r="M8" s="18"/>
      <c r="N8" s="17">
        <f t="shared" si="0"/>
        <v>558863</v>
      </c>
    </row>
    <row r="9" spans="1:14">
      <c r="A9" s="246" t="s">
        <v>211</v>
      </c>
      <c r="B9" s="99"/>
      <c r="C9" s="88"/>
      <c r="D9" s="88">
        <f>3022+84860.92</f>
        <v>87882.92</v>
      </c>
      <c r="E9" s="100"/>
      <c r="F9" s="88"/>
      <c r="G9" s="180"/>
      <c r="H9" s="6"/>
      <c r="I9" s="9"/>
      <c r="J9" s="6"/>
      <c r="K9" s="6"/>
      <c r="L9" s="19"/>
      <c r="M9" s="19"/>
      <c r="N9" s="6">
        <f t="shared" si="0"/>
        <v>87882.92</v>
      </c>
    </row>
    <row r="10" spans="1:14">
      <c r="A10" s="247"/>
      <c r="B10" s="99"/>
      <c r="C10" s="56"/>
      <c r="D10" s="56"/>
      <c r="E10" s="100"/>
      <c r="F10" s="88"/>
      <c r="G10" s="180"/>
      <c r="H10" s="6"/>
      <c r="I10" s="9"/>
      <c r="J10" s="6"/>
      <c r="K10" s="6"/>
      <c r="L10" s="19"/>
      <c r="M10" s="19"/>
      <c r="N10" s="6">
        <f t="shared" si="0"/>
        <v>0</v>
      </c>
    </row>
    <row r="11" spans="1:14">
      <c r="A11" s="248"/>
      <c r="B11" s="193"/>
      <c r="C11" s="193"/>
      <c r="D11" s="193"/>
      <c r="E11" s="194"/>
      <c r="F11" s="193"/>
      <c r="G11" s="194"/>
      <c r="H11" s="90"/>
      <c r="I11" s="91"/>
      <c r="J11" s="90"/>
      <c r="K11" s="90"/>
      <c r="L11" s="92"/>
      <c r="M11" s="92"/>
      <c r="N11" s="6">
        <f t="shared" si="0"/>
        <v>0</v>
      </c>
    </row>
    <row r="12" spans="1:14">
      <c r="A12" s="218"/>
      <c r="B12" s="93"/>
      <c r="C12" s="93"/>
      <c r="D12" s="190"/>
      <c r="E12" s="181"/>
      <c r="F12" s="190"/>
      <c r="G12" s="191"/>
      <c r="H12" s="17"/>
      <c r="I12" s="10"/>
      <c r="J12" s="17"/>
      <c r="K12" s="17"/>
      <c r="L12" s="18"/>
      <c r="M12" s="18"/>
      <c r="N12" s="6">
        <f t="shared" si="0"/>
        <v>0</v>
      </c>
    </row>
    <row r="13" spans="1:14">
      <c r="A13" s="218"/>
      <c r="B13" s="99"/>
      <c r="C13" s="88"/>
      <c r="D13" s="88"/>
      <c r="E13" s="100"/>
      <c r="F13" s="193"/>
      <c r="G13" s="180"/>
      <c r="H13" s="6"/>
      <c r="I13" s="9"/>
      <c r="J13" s="6"/>
      <c r="K13" s="6"/>
      <c r="L13" s="19"/>
      <c r="M13" s="19"/>
      <c r="N13" s="6">
        <f t="shared" si="0"/>
        <v>0</v>
      </c>
    </row>
    <row r="14" spans="1:14">
      <c r="A14" s="218"/>
      <c r="B14" s="99"/>
      <c r="C14" s="88"/>
      <c r="D14" s="88"/>
      <c r="E14" s="100"/>
      <c r="F14" s="88"/>
      <c r="G14" s="180"/>
      <c r="H14" s="6"/>
      <c r="I14" s="9"/>
      <c r="J14" s="6"/>
      <c r="K14" s="6"/>
      <c r="L14" s="19"/>
      <c r="M14" s="19"/>
      <c r="N14" s="6">
        <f t="shared" si="0"/>
        <v>0</v>
      </c>
    </row>
    <row r="15" spans="1:14">
      <c r="A15" s="249"/>
      <c r="B15" s="99"/>
      <c r="C15" s="88"/>
      <c r="D15" s="88"/>
      <c r="E15" s="193"/>
      <c r="F15" s="88"/>
      <c r="G15" s="180"/>
      <c r="H15" s="6"/>
      <c r="I15" s="9"/>
      <c r="J15" s="6"/>
      <c r="K15" s="6"/>
      <c r="L15" s="19"/>
      <c r="M15" s="19"/>
      <c r="N15" s="6">
        <f t="shared" si="0"/>
        <v>0</v>
      </c>
    </row>
    <row r="16" spans="1:14">
      <c r="A16" s="249"/>
      <c r="B16" s="99"/>
      <c r="C16" s="88"/>
      <c r="D16" s="88"/>
      <c r="E16" s="100"/>
      <c r="F16" s="88"/>
      <c r="G16" s="180"/>
      <c r="H16" s="6"/>
      <c r="I16" s="9"/>
      <c r="J16" s="6"/>
      <c r="K16" s="6"/>
      <c r="L16" s="19"/>
      <c r="M16" s="19"/>
      <c r="N16" s="6">
        <f t="shared" si="0"/>
        <v>0</v>
      </c>
    </row>
    <row r="17" spans="1:14">
      <c r="A17" s="5" t="s">
        <v>14</v>
      </c>
      <c r="B17" s="224">
        <f t="shared" ref="B17:N17" si="1">SUM(B4:B16)</f>
        <v>323087</v>
      </c>
      <c r="C17" s="224">
        <f t="shared" si="1"/>
        <v>1417595</v>
      </c>
      <c r="D17" s="224">
        <f t="shared" si="1"/>
        <v>2279590.42</v>
      </c>
      <c r="E17" s="224">
        <f t="shared" si="1"/>
        <v>282599</v>
      </c>
      <c r="F17" s="224">
        <f t="shared" si="1"/>
        <v>0</v>
      </c>
      <c r="G17" s="224">
        <f t="shared" si="1"/>
        <v>0</v>
      </c>
      <c r="H17" s="224">
        <f t="shared" si="1"/>
        <v>0</v>
      </c>
      <c r="I17" s="224">
        <f t="shared" si="1"/>
        <v>0</v>
      </c>
      <c r="J17" s="224">
        <f t="shared" si="1"/>
        <v>0</v>
      </c>
      <c r="K17" s="224">
        <f t="shared" si="1"/>
        <v>0</v>
      </c>
      <c r="L17" s="224">
        <f t="shared" si="1"/>
        <v>0</v>
      </c>
      <c r="M17" s="224">
        <f t="shared" si="1"/>
        <v>0</v>
      </c>
      <c r="N17" s="224">
        <f t="shared" si="1"/>
        <v>4302871.42</v>
      </c>
    </row>
    <row r="19" spans="1:14">
      <c r="N19" s="234">
        <f>SUM(B17:M17)-N17</f>
        <v>0</v>
      </c>
    </row>
  </sheetData>
  <phoneticPr fontId="31" type="noConversion"/>
  <pageMargins left="0.25" right="0.25" top="0.75" bottom="0.75" header="0.3" footer="0.3"/>
  <pageSetup paperSize="9" scale="88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N21"/>
  <sheetViews>
    <sheetView workbookViewId="0">
      <selection activeCell="A5" sqref="A5:E5"/>
    </sheetView>
  </sheetViews>
  <sheetFormatPr defaultRowHeight="15"/>
  <cols>
    <col min="1" max="1" width="19.7109375" customWidth="1"/>
  </cols>
  <sheetData>
    <row r="1" spans="1:14">
      <c r="A1" s="14" t="s">
        <v>100</v>
      </c>
      <c r="B1" s="25"/>
      <c r="C1" s="2"/>
      <c r="D1" s="2"/>
      <c r="E1" s="25"/>
      <c r="F1" s="27"/>
      <c r="G1" s="27" t="str">
        <f ca="1">'ВСЕ затраты в 2020-2021 гг'!C1</f>
        <v>2021-2022гг.</v>
      </c>
      <c r="H1" s="2"/>
      <c r="I1" s="2"/>
      <c r="J1" s="2"/>
      <c r="K1" s="2"/>
      <c r="L1" s="2"/>
      <c r="M1" s="2"/>
      <c r="N1" s="1"/>
    </row>
    <row r="2" spans="1:14">
      <c r="A2" s="17"/>
      <c r="B2" s="22" t="s">
        <v>1</v>
      </c>
      <c r="C2" s="22" t="s">
        <v>2</v>
      </c>
      <c r="D2" s="22" t="s">
        <v>3</v>
      </c>
      <c r="E2" s="23" t="s">
        <v>4</v>
      </c>
      <c r="F2" s="22" t="s">
        <v>5</v>
      </c>
      <c r="G2" s="23" t="s">
        <v>6</v>
      </c>
      <c r="H2" s="22" t="s">
        <v>7</v>
      </c>
      <c r="I2" s="23" t="s">
        <v>8</v>
      </c>
      <c r="J2" s="22" t="s">
        <v>9</v>
      </c>
      <c r="K2" s="22" t="s">
        <v>10</v>
      </c>
      <c r="L2" s="22" t="s">
        <v>11</v>
      </c>
      <c r="M2" s="22" t="s">
        <v>12</v>
      </c>
      <c r="N2" s="22" t="s">
        <v>14</v>
      </c>
    </row>
    <row r="3" spans="1:14">
      <c r="A3" s="2"/>
      <c r="B3" s="29"/>
      <c r="C3" s="29"/>
      <c r="D3" s="29"/>
      <c r="E3" s="28"/>
      <c r="F3" s="29"/>
      <c r="G3" s="28"/>
      <c r="H3" s="29"/>
      <c r="I3" s="28"/>
      <c r="J3" s="29"/>
      <c r="K3" s="29"/>
      <c r="L3" s="29"/>
      <c r="M3" s="29"/>
      <c r="N3" s="29"/>
    </row>
    <row r="4" spans="1:14" ht="30">
      <c r="A4" s="311" t="s">
        <v>164</v>
      </c>
      <c r="B4" s="312"/>
      <c r="C4" s="88">
        <v>75000</v>
      </c>
      <c r="D4" s="88"/>
      <c r="E4" s="100"/>
      <c r="F4" s="88"/>
      <c r="G4" s="180"/>
      <c r="H4" s="6"/>
      <c r="I4" s="9"/>
      <c r="J4" s="6"/>
      <c r="K4" s="6"/>
      <c r="L4" s="19"/>
      <c r="M4" s="19"/>
      <c r="N4" s="6">
        <f t="shared" ref="N4:N17" si="0">SUM(B4:M4)</f>
        <v>75000</v>
      </c>
    </row>
    <row r="5" spans="1:14">
      <c r="A5" s="53" t="s">
        <v>218</v>
      </c>
      <c r="B5" s="282"/>
      <c r="C5" s="53"/>
      <c r="D5" s="53"/>
      <c r="E5" s="282">
        <v>10000</v>
      </c>
      <c r="F5" s="242"/>
      <c r="G5" s="243"/>
      <c r="H5" s="242"/>
      <c r="I5" s="243"/>
      <c r="J5" s="242"/>
      <c r="K5" s="242"/>
      <c r="L5" s="242"/>
      <c r="M5" s="242"/>
      <c r="N5" s="17">
        <f>SUM(B5:M5)</f>
        <v>10000</v>
      </c>
    </row>
    <row r="6" spans="1:14">
      <c r="A6" s="245"/>
      <c r="B6" s="195"/>
      <c r="C6" s="195"/>
      <c r="D6" s="195"/>
      <c r="E6" s="198"/>
      <c r="F6" s="195"/>
      <c r="G6" s="198"/>
      <c r="H6" s="94"/>
      <c r="I6" s="95"/>
      <c r="J6" s="94"/>
      <c r="K6" s="94"/>
      <c r="L6" s="96"/>
      <c r="M6" s="96"/>
      <c r="N6" s="6">
        <f t="shared" si="0"/>
        <v>0</v>
      </c>
    </row>
    <row r="7" spans="1:14">
      <c r="A7" s="245"/>
      <c r="B7" s="193"/>
      <c r="C7" s="193"/>
      <c r="D7" s="193"/>
      <c r="E7" s="194"/>
      <c r="F7" s="193"/>
      <c r="G7" s="194"/>
      <c r="H7" s="90"/>
      <c r="I7" s="91"/>
      <c r="J7" s="90"/>
      <c r="K7" s="90"/>
      <c r="L7" s="92"/>
      <c r="M7" s="92"/>
      <c r="N7" s="6">
        <f t="shared" si="0"/>
        <v>0</v>
      </c>
    </row>
    <row r="8" spans="1:14">
      <c r="A8" s="245"/>
      <c r="B8" s="99"/>
      <c r="C8" s="88"/>
      <c r="D8" s="88"/>
      <c r="E8" s="100"/>
      <c r="F8" s="193"/>
      <c r="G8" s="180"/>
      <c r="H8" s="6"/>
      <c r="I8" s="9"/>
      <c r="J8" s="6"/>
      <c r="K8" s="6"/>
      <c r="L8" s="19"/>
      <c r="M8" s="19"/>
      <c r="N8" s="6">
        <f t="shared" si="0"/>
        <v>0</v>
      </c>
    </row>
    <row r="9" spans="1:14">
      <c r="A9" s="244"/>
      <c r="B9" s="189"/>
      <c r="C9" s="190"/>
      <c r="D9" s="190"/>
      <c r="E9" s="181"/>
      <c r="F9" s="190"/>
      <c r="G9" s="191"/>
      <c r="H9" s="17"/>
      <c r="I9" s="10"/>
      <c r="J9" s="17"/>
      <c r="K9" s="17"/>
      <c r="L9" s="18"/>
      <c r="M9" s="18"/>
      <c r="N9" s="17">
        <f t="shared" si="0"/>
        <v>0</v>
      </c>
    </row>
    <row r="10" spans="1:14">
      <c r="A10" s="246"/>
      <c r="B10" s="99"/>
      <c r="C10" s="88"/>
      <c r="D10" s="88"/>
      <c r="E10" s="100"/>
      <c r="F10" s="88"/>
      <c r="G10" s="180"/>
      <c r="H10" s="6"/>
      <c r="I10" s="9"/>
      <c r="J10" s="6"/>
      <c r="K10" s="6"/>
      <c r="L10" s="19"/>
      <c r="M10" s="19"/>
      <c r="N10" s="6">
        <f t="shared" si="0"/>
        <v>0</v>
      </c>
    </row>
    <row r="11" spans="1:14">
      <c r="A11" s="247"/>
      <c r="B11" s="99"/>
      <c r="C11" s="56"/>
      <c r="D11" s="56"/>
      <c r="E11" s="100"/>
      <c r="F11" s="88"/>
      <c r="G11" s="180"/>
      <c r="H11" s="6"/>
      <c r="I11" s="9"/>
      <c r="J11" s="6"/>
      <c r="K11" s="6"/>
      <c r="L11" s="19"/>
      <c r="M11" s="19"/>
      <c r="N11" s="6">
        <f t="shared" si="0"/>
        <v>0</v>
      </c>
    </row>
    <row r="12" spans="1:14">
      <c r="A12" s="248"/>
      <c r="B12" s="193"/>
      <c r="C12" s="193"/>
      <c r="D12" s="193"/>
      <c r="E12" s="194"/>
      <c r="F12" s="193"/>
      <c r="G12" s="194"/>
      <c r="H12" s="90"/>
      <c r="I12" s="91"/>
      <c r="J12" s="90"/>
      <c r="K12" s="90"/>
      <c r="L12" s="92"/>
      <c r="M12" s="92"/>
      <c r="N12" s="6">
        <f t="shared" si="0"/>
        <v>0</v>
      </c>
    </row>
    <row r="13" spans="1:14">
      <c r="A13" s="218"/>
      <c r="B13" s="93"/>
      <c r="C13" s="93"/>
      <c r="D13" s="190"/>
      <c r="E13" s="181"/>
      <c r="F13" s="190"/>
      <c r="G13" s="191"/>
      <c r="H13" s="17"/>
      <c r="I13" s="10"/>
      <c r="J13" s="17"/>
      <c r="K13" s="17"/>
      <c r="L13" s="18"/>
      <c r="M13" s="18"/>
      <c r="N13" s="6">
        <f t="shared" si="0"/>
        <v>0</v>
      </c>
    </row>
    <row r="14" spans="1:14">
      <c r="A14" s="218"/>
      <c r="B14" s="99"/>
      <c r="C14" s="88"/>
      <c r="D14" s="88"/>
      <c r="E14" s="100"/>
      <c r="F14" s="193"/>
      <c r="G14" s="180"/>
      <c r="H14" s="6"/>
      <c r="I14" s="9"/>
      <c r="J14" s="6"/>
      <c r="K14" s="6"/>
      <c r="L14" s="19"/>
      <c r="M14" s="19"/>
      <c r="N14" s="6">
        <f t="shared" si="0"/>
        <v>0</v>
      </c>
    </row>
    <row r="15" spans="1:14">
      <c r="A15" s="218"/>
      <c r="B15" s="99"/>
      <c r="C15" s="88"/>
      <c r="D15" s="88"/>
      <c r="E15" s="100"/>
      <c r="F15" s="88"/>
      <c r="G15" s="180"/>
      <c r="H15" s="6"/>
      <c r="I15" s="9"/>
      <c r="J15" s="6"/>
      <c r="K15" s="6"/>
      <c r="L15" s="19"/>
      <c r="M15" s="19"/>
      <c r="N15" s="6">
        <f t="shared" si="0"/>
        <v>0</v>
      </c>
    </row>
    <row r="16" spans="1:14">
      <c r="A16" s="249"/>
      <c r="B16" s="99"/>
      <c r="C16" s="88"/>
      <c r="D16" s="88"/>
      <c r="E16" s="193"/>
      <c r="F16" s="88"/>
      <c r="G16" s="180"/>
      <c r="H16" s="6"/>
      <c r="I16" s="9"/>
      <c r="J16" s="6"/>
      <c r="K16" s="6"/>
      <c r="L16" s="19"/>
      <c r="M16" s="19"/>
      <c r="N16" s="6">
        <f t="shared" si="0"/>
        <v>0</v>
      </c>
    </row>
    <row r="17" spans="1:14">
      <c r="A17" s="249"/>
      <c r="B17" s="99"/>
      <c r="C17" s="88"/>
      <c r="D17" s="88"/>
      <c r="E17" s="100"/>
      <c r="F17" s="88"/>
      <c r="G17" s="180"/>
      <c r="H17" s="6"/>
      <c r="I17" s="9"/>
      <c r="J17" s="6"/>
      <c r="K17" s="6"/>
      <c r="L17" s="19"/>
      <c r="M17" s="19"/>
      <c r="N17" s="6">
        <f t="shared" si="0"/>
        <v>0</v>
      </c>
    </row>
    <row r="18" spans="1:14">
      <c r="A18" s="5" t="s">
        <v>14</v>
      </c>
      <c r="B18" s="224">
        <f t="shared" ref="B18:N18" si="1">SUM(B4:B17)</f>
        <v>0</v>
      </c>
      <c r="C18" s="224">
        <f t="shared" si="1"/>
        <v>75000</v>
      </c>
      <c r="D18" s="224">
        <f t="shared" si="1"/>
        <v>0</v>
      </c>
      <c r="E18" s="224">
        <f t="shared" si="1"/>
        <v>10000</v>
      </c>
      <c r="F18" s="224">
        <f t="shared" si="1"/>
        <v>0</v>
      </c>
      <c r="G18" s="224">
        <f t="shared" si="1"/>
        <v>0</v>
      </c>
      <c r="H18" s="224">
        <f t="shared" si="1"/>
        <v>0</v>
      </c>
      <c r="I18" s="224">
        <f t="shared" si="1"/>
        <v>0</v>
      </c>
      <c r="J18" s="224">
        <f t="shared" si="1"/>
        <v>0</v>
      </c>
      <c r="K18" s="224">
        <f t="shared" si="1"/>
        <v>0</v>
      </c>
      <c r="L18" s="224">
        <f t="shared" si="1"/>
        <v>0</v>
      </c>
      <c r="M18" s="224">
        <f t="shared" si="1"/>
        <v>0</v>
      </c>
      <c r="N18" s="224">
        <f t="shared" si="1"/>
        <v>85000</v>
      </c>
    </row>
    <row r="19" spans="1:14">
      <c r="B19" s="30"/>
      <c r="E19" s="30"/>
    </row>
    <row r="20" spans="1:14">
      <c r="B20" s="30"/>
      <c r="E20" s="30"/>
      <c r="N20" s="234">
        <f>SUM(B18:M18)-N18</f>
        <v>0</v>
      </c>
    </row>
    <row r="21" spans="1:14">
      <c r="B21" s="30"/>
      <c r="E21" s="30"/>
    </row>
  </sheetData>
  <phoneticPr fontId="31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A1:N17"/>
  <sheetViews>
    <sheetView workbookViewId="0">
      <selection activeCell="H30" sqref="H30"/>
    </sheetView>
  </sheetViews>
  <sheetFormatPr defaultRowHeight="15"/>
  <cols>
    <col min="1" max="1" width="20" bestFit="1" customWidth="1"/>
  </cols>
  <sheetData>
    <row r="1" spans="1:14">
      <c r="A1" s="14" t="s">
        <v>101</v>
      </c>
      <c r="B1" s="25"/>
      <c r="C1" s="2"/>
      <c r="D1" s="2"/>
      <c r="E1" s="25"/>
      <c r="F1" s="27"/>
      <c r="G1" s="27" t="str">
        <f ca="1">'ВСЕ затраты в 2020-2021 гг'!C1</f>
        <v>2021-2022гг.</v>
      </c>
      <c r="H1" s="2"/>
      <c r="I1" s="2"/>
      <c r="J1" s="2"/>
      <c r="K1" s="2"/>
      <c r="L1" s="2"/>
      <c r="M1" s="2"/>
      <c r="N1" s="1"/>
    </row>
    <row r="2" spans="1:14">
      <c r="A2" s="17"/>
      <c r="B2" s="22" t="s">
        <v>1</v>
      </c>
      <c r="C2" s="22" t="s">
        <v>2</v>
      </c>
      <c r="D2" s="22" t="s">
        <v>3</v>
      </c>
      <c r="E2" s="23" t="s">
        <v>4</v>
      </c>
      <c r="F2" s="22" t="s">
        <v>5</v>
      </c>
      <c r="G2" s="23" t="s">
        <v>6</v>
      </c>
      <c r="H2" s="22" t="s">
        <v>7</v>
      </c>
      <c r="I2" s="23" t="s">
        <v>8</v>
      </c>
      <c r="J2" s="22" t="s">
        <v>9</v>
      </c>
      <c r="K2" s="22" t="s">
        <v>10</v>
      </c>
      <c r="L2" s="22" t="s">
        <v>11</v>
      </c>
      <c r="M2" s="22" t="s">
        <v>12</v>
      </c>
      <c r="N2" s="22" t="s">
        <v>14</v>
      </c>
    </row>
    <row r="3" spans="1:14">
      <c r="A3" s="2"/>
      <c r="B3" s="29"/>
      <c r="C3" s="29"/>
      <c r="D3" s="29"/>
      <c r="E3" s="28"/>
      <c r="F3" s="29"/>
      <c r="G3" s="28"/>
      <c r="H3" s="29"/>
      <c r="I3" s="28"/>
      <c r="J3" s="29"/>
      <c r="K3" s="29"/>
      <c r="L3" s="29"/>
      <c r="M3" s="29"/>
      <c r="N3" s="29"/>
    </row>
    <row r="4" spans="1:14">
      <c r="A4" s="253" t="s">
        <v>129</v>
      </c>
      <c r="B4" s="296">
        <v>50000</v>
      </c>
      <c r="C4" s="264"/>
      <c r="D4" s="296"/>
      <c r="E4" s="297"/>
      <c r="F4" s="264"/>
      <c r="G4" s="298"/>
      <c r="H4" s="296"/>
      <c r="I4" s="297"/>
      <c r="J4" s="296"/>
      <c r="K4" s="296"/>
      <c r="L4" s="296"/>
      <c r="M4" s="281"/>
      <c r="N4" s="281">
        <f>SUM(B4:M4)</f>
        <v>50000</v>
      </c>
    </row>
    <row r="5" spans="1:14">
      <c r="A5" s="245"/>
      <c r="B5" s="195"/>
      <c r="C5" s="195"/>
      <c r="D5" s="195"/>
      <c r="E5" s="198"/>
      <c r="F5" s="195"/>
      <c r="G5" s="198"/>
      <c r="H5" s="94"/>
      <c r="I5" s="95"/>
      <c r="J5" s="94"/>
      <c r="K5" s="94"/>
      <c r="L5" s="96"/>
      <c r="M5" s="96"/>
      <c r="N5" s="6">
        <f t="shared" ref="N5:N16" si="0">SUM(B5:M5)</f>
        <v>0</v>
      </c>
    </row>
    <row r="6" spans="1:14">
      <c r="A6" s="245"/>
      <c r="B6" s="193"/>
      <c r="C6" s="193"/>
      <c r="D6" s="193"/>
      <c r="E6" s="194"/>
      <c r="F6" s="193"/>
      <c r="G6" s="194"/>
      <c r="H6" s="90"/>
      <c r="I6" s="91"/>
      <c r="J6" s="90"/>
      <c r="K6" s="90"/>
      <c r="L6" s="92"/>
      <c r="M6" s="92"/>
      <c r="N6" s="6">
        <f t="shared" si="0"/>
        <v>0</v>
      </c>
    </row>
    <row r="7" spans="1:14">
      <c r="A7" s="245"/>
      <c r="B7" s="99"/>
      <c r="C7" s="88"/>
      <c r="D7" s="88"/>
      <c r="E7" s="100"/>
      <c r="F7" s="193"/>
      <c r="G7" s="180"/>
      <c r="H7" s="6"/>
      <c r="I7" s="9"/>
      <c r="J7" s="6"/>
      <c r="K7" s="6"/>
      <c r="L7" s="19"/>
      <c r="M7" s="19"/>
      <c r="N7" s="6">
        <f t="shared" si="0"/>
        <v>0</v>
      </c>
    </row>
    <row r="8" spans="1:14">
      <c r="A8" s="244"/>
      <c r="B8" s="189"/>
      <c r="C8" s="190"/>
      <c r="D8" s="190"/>
      <c r="E8" s="181"/>
      <c r="F8" s="190"/>
      <c r="G8" s="191"/>
      <c r="H8" s="17"/>
      <c r="I8" s="10"/>
      <c r="J8" s="17"/>
      <c r="K8" s="17"/>
      <c r="L8" s="18"/>
      <c r="M8" s="18"/>
      <c r="N8" s="17">
        <f t="shared" si="0"/>
        <v>0</v>
      </c>
    </row>
    <row r="9" spans="1:14">
      <c r="A9" s="246"/>
      <c r="B9" s="99"/>
      <c r="C9" s="88"/>
      <c r="D9" s="88"/>
      <c r="E9" s="100"/>
      <c r="F9" s="88"/>
      <c r="G9" s="180"/>
      <c r="H9" s="6"/>
      <c r="I9" s="9"/>
      <c r="J9" s="6"/>
      <c r="K9" s="6"/>
      <c r="L9" s="19"/>
      <c r="M9" s="19"/>
      <c r="N9" s="6">
        <f t="shared" si="0"/>
        <v>0</v>
      </c>
    </row>
    <row r="10" spans="1:14">
      <c r="A10" s="247"/>
      <c r="B10" s="99"/>
      <c r="C10" s="56"/>
      <c r="D10" s="56"/>
      <c r="E10" s="100"/>
      <c r="F10" s="88"/>
      <c r="G10" s="180"/>
      <c r="H10" s="6"/>
      <c r="I10" s="9"/>
      <c r="J10" s="6"/>
      <c r="K10" s="6"/>
      <c r="L10" s="19"/>
      <c r="M10" s="19"/>
      <c r="N10" s="6">
        <f t="shared" si="0"/>
        <v>0</v>
      </c>
    </row>
    <row r="11" spans="1:14">
      <c r="A11" s="248"/>
      <c r="B11" s="193"/>
      <c r="C11" s="193"/>
      <c r="D11" s="193"/>
      <c r="E11" s="194"/>
      <c r="F11" s="193"/>
      <c r="G11" s="194"/>
      <c r="H11" s="90"/>
      <c r="I11" s="91"/>
      <c r="J11" s="90"/>
      <c r="K11" s="90"/>
      <c r="L11" s="92"/>
      <c r="M11" s="92"/>
      <c r="N11" s="6">
        <f t="shared" si="0"/>
        <v>0</v>
      </c>
    </row>
    <row r="12" spans="1:14">
      <c r="A12" s="218"/>
      <c r="B12" s="93"/>
      <c r="C12" s="93"/>
      <c r="D12" s="190"/>
      <c r="E12" s="181"/>
      <c r="F12" s="190"/>
      <c r="G12" s="191"/>
      <c r="H12" s="17"/>
      <c r="I12" s="10"/>
      <c r="J12" s="17"/>
      <c r="K12" s="17"/>
      <c r="L12" s="18"/>
      <c r="M12" s="18"/>
      <c r="N12" s="6">
        <f t="shared" si="0"/>
        <v>0</v>
      </c>
    </row>
    <row r="13" spans="1:14">
      <c r="A13" s="218"/>
      <c r="B13" s="99"/>
      <c r="C13" s="88"/>
      <c r="D13" s="88"/>
      <c r="E13" s="100"/>
      <c r="F13" s="193"/>
      <c r="G13" s="180"/>
      <c r="H13" s="6"/>
      <c r="I13" s="9"/>
      <c r="J13" s="6"/>
      <c r="K13" s="6"/>
      <c r="L13" s="19"/>
      <c r="M13" s="19"/>
      <c r="N13" s="6">
        <f t="shared" si="0"/>
        <v>0</v>
      </c>
    </row>
    <row r="14" spans="1:14">
      <c r="A14" s="218"/>
      <c r="B14" s="99"/>
      <c r="C14" s="88"/>
      <c r="D14" s="88"/>
      <c r="E14" s="100"/>
      <c r="F14" s="88"/>
      <c r="G14" s="180"/>
      <c r="H14" s="6"/>
      <c r="I14" s="9"/>
      <c r="J14" s="6"/>
      <c r="K14" s="6"/>
      <c r="L14" s="19"/>
      <c r="M14" s="19"/>
      <c r="N14" s="6">
        <f t="shared" si="0"/>
        <v>0</v>
      </c>
    </row>
    <row r="15" spans="1:14">
      <c r="A15" s="249"/>
      <c r="B15" s="99"/>
      <c r="C15" s="88"/>
      <c r="D15" s="88"/>
      <c r="E15" s="193"/>
      <c r="F15" s="88"/>
      <c r="G15" s="180"/>
      <c r="H15" s="6"/>
      <c r="I15" s="9"/>
      <c r="J15" s="6"/>
      <c r="K15" s="6"/>
      <c r="L15" s="19"/>
      <c r="M15" s="19"/>
      <c r="N15" s="6">
        <f t="shared" si="0"/>
        <v>0</v>
      </c>
    </row>
    <row r="16" spans="1:14">
      <c r="A16" s="249"/>
      <c r="B16" s="99"/>
      <c r="C16" s="88"/>
      <c r="D16" s="88"/>
      <c r="E16" s="100"/>
      <c r="F16" s="88"/>
      <c r="G16" s="180"/>
      <c r="H16" s="6"/>
      <c r="I16" s="9"/>
      <c r="J16" s="6"/>
      <c r="K16" s="6"/>
      <c r="L16" s="19"/>
      <c r="M16" s="19"/>
      <c r="N16" s="6">
        <f t="shared" si="0"/>
        <v>0</v>
      </c>
    </row>
    <row r="17" spans="1:14">
      <c r="A17" s="5" t="s">
        <v>14</v>
      </c>
      <c r="B17" s="224">
        <f t="shared" ref="B17:N17" si="1">SUM(B4:B16)</f>
        <v>50000</v>
      </c>
      <c r="C17" s="224">
        <f t="shared" si="1"/>
        <v>0</v>
      </c>
      <c r="D17" s="224">
        <f t="shared" si="1"/>
        <v>0</v>
      </c>
      <c r="E17" s="224">
        <f t="shared" si="1"/>
        <v>0</v>
      </c>
      <c r="F17" s="224">
        <f t="shared" si="1"/>
        <v>0</v>
      </c>
      <c r="G17" s="224">
        <f t="shared" si="1"/>
        <v>0</v>
      </c>
      <c r="H17" s="224">
        <f t="shared" si="1"/>
        <v>0</v>
      </c>
      <c r="I17" s="224">
        <f t="shared" si="1"/>
        <v>0</v>
      </c>
      <c r="J17" s="224">
        <f t="shared" si="1"/>
        <v>0</v>
      </c>
      <c r="K17" s="224">
        <f t="shared" si="1"/>
        <v>0</v>
      </c>
      <c r="L17" s="224">
        <f t="shared" si="1"/>
        <v>0</v>
      </c>
      <c r="M17" s="224">
        <f t="shared" si="1"/>
        <v>0</v>
      </c>
      <c r="N17" s="224">
        <f t="shared" si="1"/>
        <v>50000</v>
      </c>
    </row>
  </sheetData>
  <phoneticPr fontId="31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8" tint="0.39997558519241921"/>
  </sheetPr>
  <dimension ref="A1:N17"/>
  <sheetViews>
    <sheetView workbookViewId="0">
      <selection activeCell="A3" sqref="A3:D4"/>
    </sheetView>
  </sheetViews>
  <sheetFormatPr defaultRowHeight="15"/>
  <sheetData>
    <row r="1" spans="1:14">
      <c r="A1" s="14" t="s">
        <v>112</v>
      </c>
      <c r="B1" s="25"/>
      <c r="C1" s="2"/>
      <c r="D1" s="2"/>
      <c r="E1" s="25"/>
      <c r="F1" s="27"/>
      <c r="G1" s="27" t="str">
        <f ca="1">'ВСЕ затраты в 2020-2021 гг'!C1</f>
        <v>2021-2022гг.</v>
      </c>
      <c r="H1" s="2"/>
      <c r="I1" s="2"/>
      <c r="J1" s="2"/>
      <c r="K1" s="2"/>
      <c r="L1" s="2"/>
      <c r="M1" s="2"/>
      <c r="N1" s="1"/>
    </row>
    <row r="2" spans="1:14">
      <c r="A2" s="17"/>
      <c r="B2" s="32" t="s">
        <v>1</v>
      </c>
      <c r="C2" s="32" t="s">
        <v>2</v>
      </c>
      <c r="D2" s="32" t="s">
        <v>3</v>
      </c>
      <c r="E2" s="32" t="s">
        <v>4</v>
      </c>
      <c r="F2" s="32" t="s">
        <v>5</v>
      </c>
      <c r="G2" s="32" t="s">
        <v>6</v>
      </c>
      <c r="H2" s="32" t="s">
        <v>7</v>
      </c>
      <c r="I2" s="32" t="s">
        <v>8</v>
      </c>
      <c r="J2" s="32" t="s">
        <v>9</v>
      </c>
      <c r="K2" s="32" t="s">
        <v>10</v>
      </c>
      <c r="L2" s="32" t="s">
        <v>11</v>
      </c>
      <c r="M2" s="32" t="s">
        <v>12</v>
      </c>
      <c r="N2" s="32" t="s">
        <v>14</v>
      </c>
    </row>
    <row r="3" spans="1:14">
      <c r="A3" s="2"/>
      <c r="B3" s="29"/>
      <c r="C3" s="29"/>
      <c r="D3" s="29"/>
      <c r="E3" s="28"/>
      <c r="F3" s="29"/>
      <c r="G3" s="28"/>
      <c r="H3" s="29"/>
      <c r="I3" s="28"/>
      <c r="J3" s="29"/>
      <c r="K3" s="29"/>
      <c r="L3" s="29"/>
      <c r="M3" s="29"/>
      <c r="N3" s="6">
        <f t="shared" ref="N3:N16" si="0">SUM(B3:M3)</f>
        <v>0</v>
      </c>
    </row>
    <row r="4" spans="1:14">
      <c r="A4" s="311"/>
      <c r="B4" s="312"/>
      <c r="C4" s="88"/>
      <c r="D4" s="88"/>
      <c r="E4" s="100"/>
      <c r="F4" s="88"/>
      <c r="G4" s="180"/>
      <c r="H4" s="6"/>
      <c r="I4" s="9"/>
      <c r="J4" s="6"/>
      <c r="K4" s="6"/>
      <c r="L4" s="19"/>
      <c r="M4" s="19"/>
      <c r="N4" s="6">
        <f t="shared" si="0"/>
        <v>0</v>
      </c>
    </row>
    <row r="5" spans="1:14">
      <c r="A5" s="245"/>
      <c r="B5" s="195"/>
      <c r="C5" s="195"/>
      <c r="D5" s="195"/>
      <c r="E5" s="198"/>
      <c r="F5" s="195"/>
      <c r="G5" s="198"/>
      <c r="H5" s="94"/>
      <c r="I5" s="95"/>
      <c r="J5" s="94"/>
      <c r="K5" s="94"/>
      <c r="L5" s="96"/>
      <c r="M5" s="96"/>
      <c r="N5" s="6">
        <f t="shared" si="0"/>
        <v>0</v>
      </c>
    </row>
    <row r="6" spans="1:14">
      <c r="A6" s="245"/>
      <c r="B6" s="193"/>
      <c r="C6" s="193"/>
      <c r="D6" s="193"/>
      <c r="E6" s="194"/>
      <c r="F6" s="193"/>
      <c r="G6" s="194"/>
      <c r="H6" s="90"/>
      <c r="I6" s="91"/>
      <c r="J6" s="90"/>
      <c r="K6" s="90"/>
      <c r="L6" s="92"/>
      <c r="M6" s="92"/>
      <c r="N6" s="6">
        <f t="shared" si="0"/>
        <v>0</v>
      </c>
    </row>
    <row r="7" spans="1:14">
      <c r="A7" s="245"/>
      <c r="B7" s="99"/>
      <c r="C7" s="88"/>
      <c r="D7" s="88"/>
      <c r="E7" s="100"/>
      <c r="F7" s="193"/>
      <c r="G7" s="180"/>
      <c r="H7" s="6"/>
      <c r="I7" s="9"/>
      <c r="J7" s="6"/>
      <c r="K7" s="6"/>
      <c r="L7" s="19"/>
      <c r="M7" s="19"/>
      <c r="N7" s="6">
        <f t="shared" si="0"/>
        <v>0</v>
      </c>
    </row>
    <row r="8" spans="1:14">
      <c r="A8" s="244"/>
      <c r="B8" s="189"/>
      <c r="C8" s="190"/>
      <c r="D8" s="190"/>
      <c r="E8" s="181"/>
      <c r="F8" s="190"/>
      <c r="G8" s="191"/>
      <c r="H8" s="17"/>
      <c r="I8" s="10"/>
      <c r="J8" s="17"/>
      <c r="K8" s="17"/>
      <c r="L8" s="18"/>
      <c r="M8" s="18"/>
      <c r="N8" s="17">
        <f t="shared" si="0"/>
        <v>0</v>
      </c>
    </row>
    <row r="9" spans="1:14">
      <c r="A9" s="246"/>
      <c r="B9" s="99"/>
      <c r="C9" s="88"/>
      <c r="D9" s="88"/>
      <c r="E9" s="100"/>
      <c r="F9" s="88"/>
      <c r="G9" s="180"/>
      <c r="H9" s="6"/>
      <c r="I9" s="9"/>
      <c r="J9" s="6"/>
      <c r="K9" s="6"/>
      <c r="L9" s="19"/>
      <c r="M9" s="19"/>
      <c r="N9" s="6">
        <f t="shared" si="0"/>
        <v>0</v>
      </c>
    </row>
    <row r="10" spans="1:14">
      <c r="A10" s="247"/>
      <c r="B10" s="99"/>
      <c r="C10" s="56"/>
      <c r="D10" s="56"/>
      <c r="E10" s="100"/>
      <c r="F10" s="88"/>
      <c r="G10" s="180"/>
      <c r="H10" s="6"/>
      <c r="I10" s="9"/>
      <c r="J10" s="6"/>
      <c r="K10" s="6"/>
      <c r="L10" s="19"/>
      <c r="M10" s="19"/>
      <c r="N10" s="6">
        <f t="shared" si="0"/>
        <v>0</v>
      </c>
    </row>
    <row r="11" spans="1:14">
      <c r="A11" s="248"/>
      <c r="B11" s="193"/>
      <c r="C11" s="193"/>
      <c r="D11" s="193"/>
      <c r="E11" s="194"/>
      <c r="F11" s="193"/>
      <c r="G11" s="194"/>
      <c r="H11" s="90"/>
      <c r="I11" s="91"/>
      <c r="J11" s="90"/>
      <c r="K11" s="90"/>
      <c r="L11" s="92"/>
      <c r="M11" s="92"/>
      <c r="N11" s="6">
        <f t="shared" si="0"/>
        <v>0</v>
      </c>
    </row>
    <row r="12" spans="1:14">
      <c r="A12" s="218"/>
      <c r="B12" s="93"/>
      <c r="C12" s="93"/>
      <c r="D12" s="190"/>
      <c r="E12" s="181"/>
      <c r="F12" s="190"/>
      <c r="G12" s="191"/>
      <c r="H12" s="17"/>
      <c r="I12" s="10"/>
      <c r="J12" s="17"/>
      <c r="K12" s="17"/>
      <c r="L12" s="18"/>
      <c r="M12" s="18"/>
      <c r="N12" s="6">
        <f t="shared" si="0"/>
        <v>0</v>
      </c>
    </row>
    <row r="13" spans="1:14">
      <c r="A13" s="218"/>
      <c r="B13" s="99"/>
      <c r="C13" s="88"/>
      <c r="D13" s="88"/>
      <c r="E13" s="100"/>
      <c r="F13" s="193"/>
      <c r="G13" s="180"/>
      <c r="H13" s="6"/>
      <c r="I13" s="9"/>
      <c r="J13" s="6"/>
      <c r="K13" s="6"/>
      <c r="L13" s="19"/>
      <c r="M13" s="19"/>
      <c r="N13" s="6">
        <f t="shared" si="0"/>
        <v>0</v>
      </c>
    </row>
    <row r="14" spans="1:14">
      <c r="A14" s="218"/>
      <c r="B14" s="99"/>
      <c r="C14" s="88"/>
      <c r="D14" s="88"/>
      <c r="E14" s="100"/>
      <c r="F14" s="88"/>
      <c r="G14" s="180"/>
      <c r="H14" s="6"/>
      <c r="I14" s="9"/>
      <c r="J14" s="6"/>
      <c r="K14" s="6"/>
      <c r="L14" s="19"/>
      <c r="M14" s="19"/>
      <c r="N14" s="6">
        <f t="shared" si="0"/>
        <v>0</v>
      </c>
    </row>
    <row r="15" spans="1:14">
      <c r="A15" s="249"/>
      <c r="B15" s="99"/>
      <c r="C15" s="88"/>
      <c r="D15" s="88"/>
      <c r="E15" s="193"/>
      <c r="F15" s="88"/>
      <c r="G15" s="180"/>
      <c r="H15" s="6"/>
      <c r="I15" s="9"/>
      <c r="J15" s="6"/>
      <c r="K15" s="6"/>
      <c r="L15" s="19"/>
      <c r="M15" s="19"/>
      <c r="N15" s="6">
        <f t="shared" si="0"/>
        <v>0</v>
      </c>
    </row>
    <row r="16" spans="1:14">
      <c r="A16" s="249"/>
      <c r="B16" s="99"/>
      <c r="C16" s="88"/>
      <c r="D16" s="88"/>
      <c r="E16" s="100"/>
      <c r="F16" s="88"/>
      <c r="G16" s="180"/>
      <c r="H16" s="6"/>
      <c r="I16" s="9"/>
      <c r="J16" s="6"/>
      <c r="K16" s="6"/>
      <c r="L16" s="19"/>
      <c r="M16" s="19"/>
      <c r="N16" s="6">
        <f t="shared" si="0"/>
        <v>0</v>
      </c>
    </row>
    <row r="17" spans="1:14">
      <c r="A17" s="5" t="s">
        <v>14</v>
      </c>
      <c r="B17" s="224">
        <f>SUM(B3:B16)</f>
        <v>0</v>
      </c>
      <c r="C17" s="224">
        <f t="shared" ref="C17:M17" si="1">SUM(C3:C16)</f>
        <v>0</v>
      </c>
      <c r="D17" s="224">
        <f t="shared" si="1"/>
        <v>0</v>
      </c>
      <c r="E17" s="224">
        <f t="shared" si="1"/>
        <v>0</v>
      </c>
      <c r="F17" s="224">
        <f t="shared" si="1"/>
        <v>0</v>
      </c>
      <c r="G17" s="224">
        <f t="shared" si="1"/>
        <v>0</v>
      </c>
      <c r="H17" s="224">
        <f t="shared" si="1"/>
        <v>0</v>
      </c>
      <c r="I17" s="224">
        <f t="shared" si="1"/>
        <v>0</v>
      </c>
      <c r="J17" s="224">
        <f t="shared" si="1"/>
        <v>0</v>
      </c>
      <c r="K17" s="224">
        <f t="shared" si="1"/>
        <v>0</v>
      </c>
      <c r="L17" s="224">
        <f t="shared" si="1"/>
        <v>0</v>
      </c>
      <c r="M17" s="224">
        <f t="shared" si="1"/>
        <v>0</v>
      </c>
      <c r="N17" s="224">
        <f>SUM(N3:N16)</f>
        <v>0</v>
      </c>
    </row>
  </sheetData>
  <phoneticPr fontId="31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1:N14"/>
  <sheetViews>
    <sheetView workbookViewId="0">
      <selection activeCell="A3" sqref="A3:M11"/>
    </sheetView>
  </sheetViews>
  <sheetFormatPr defaultRowHeight="15"/>
  <cols>
    <col min="1" max="1" width="31.28515625" bestFit="1" customWidth="1"/>
    <col min="6" max="6" width="10.28515625" bestFit="1" customWidth="1"/>
    <col min="14" max="14" width="10.28515625" bestFit="1" customWidth="1"/>
  </cols>
  <sheetData>
    <row r="1" spans="1:14">
      <c r="A1" s="14" t="s">
        <v>113</v>
      </c>
      <c r="B1" s="25"/>
      <c r="C1" s="2"/>
      <c r="D1" s="2"/>
      <c r="E1" s="25"/>
      <c r="F1" s="27"/>
      <c r="G1" s="27" t="str">
        <f ca="1">'ВСЕ затраты в 2020-2021 гг'!C1</f>
        <v>2021-2022гг.</v>
      </c>
      <c r="H1" s="2"/>
      <c r="I1" s="2"/>
      <c r="J1" s="2"/>
      <c r="K1" s="2"/>
      <c r="L1" s="2"/>
      <c r="M1" s="2"/>
      <c r="N1" s="1"/>
    </row>
    <row r="2" spans="1:14">
      <c r="A2" s="17"/>
      <c r="B2" s="22" t="s">
        <v>1</v>
      </c>
      <c r="C2" s="22" t="s">
        <v>2</v>
      </c>
      <c r="D2" s="22" t="s">
        <v>3</v>
      </c>
      <c r="E2" s="23" t="s">
        <v>4</v>
      </c>
      <c r="F2" s="22" t="s">
        <v>5</v>
      </c>
      <c r="G2" s="23" t="s">
        <v>6</v>
      </c>
      <c r="H2" s="22" t="s">
        <v>7</v>
      </c>
      <c r="I2" s="23" t="s">
        <v>8</v>
      </c>
      <c r="J2" s="22" t="s">
        <v>9</v>
      </c>
      <c r="K2" s="22" t="s">
        <v>10</v>
      </c>
      <c r="L2" s="22" t="s">
        <v>11</v>
      </c>
      <c r="M2" s="22" t="s">
        <v>12</v>
      </c>
      <c r="N2" s="22" t="s">
        <v>14</v>
      </c>
    </row>
    <row r="3" spans="1:14">
      <c r="A3" s="308"/>
      <c r="B3" s="309"/>
      <c r="C3" s="309"/>
      <c r="D3" s="29"/>
      <c r="E3" s="28"/>
      <c r="F3" s="309"/>
      <c r="G3" s="28"/>
      <c r="H3" s="29"/>
      <c r="I3" s="28"/>
      <c r="J3" s="29"/>
      <c r="K3" s="29"/>
      <c r="L3" s="29"/>
      <c r="M3" s="29"/>
      <c r="N3" s="281">
        <f t="shared" ref="N3:N11" si="0">SUM(B3:M3)</f>
        <v>0</v>
      </c>
    </row>
    <row r="4" spans="1:14">
      <c r="A4" s="3"/>
      <c r="B4" s="264"/>
      <c r="C4" s="264"/>
      <c r="D4" s="264"/>
      <c r="E4" s="264"/>
      <c r="F4" s="264"/>
      <c r="G4" s="298"/>
      <c r="H4" s="264"/>
      <c r="I4" s="298"/>
      <c r="J4" s="264"/>
      <c r="K4" s="264"/>
      <c r="L4" s="264"/>
      <c r="M4" s="306"/>
      <c r="N4" s="281">
        <f t="shared" si="0"/>
        <v>0</v>
      </c>
    </row>
    <row r="5" spans="1:14">
      <c r="A5" s="3"/>
      <c r="B5" s="264"/>
      <c r="C5" s="264"/>
      <c r="D5" s="264"/>
      <c r="E5" s="264"/>
      <c r="F5" s="264"/>
      <c r="G5" s="298"/>
      <c r="H5" s="264"/>
      <c r="I5" s="264"/>
      <c r="J5" s="264"/>
      <c r="K5" s="264"/>
      <c r="L5" s="264"/>
      <c r="M5" s="306"/>
      <c r="N5" s="281">
        <f t="shared" si="0"/>
        <v>0</v>
      </c>
    </row>
    <row r="6" spans="1:14">
      <c r="A6" s="3"/>
      <c r="B6" s="264"/>
      <c r="C6" s="264"/>
      <c r="D6" s="264"/>
      <c r="E6" s="264"/>
      <c r="F6" s="264"/>
      <c r="G6" s="298"/>
      <c r="H6" s="264"/>
      <c r="I6" s="264"/>
      <c r="J6" s="264"/>
      <c r="K6" s="264"/>
      <c r="L6" s="264"/>
      <c r="M6" s="306"/>
      <c r="N6" s="281">
        <f t="shared" si="0"/>
        <v>0</v>
      </c>
    </row>
    <row r="7" spans="1:14">
      <c r="A7" s="3"/>
      <c r="B7" s="264"/>
      <c r="C7" s="264"/>
      <c r="D7" s="264"/>
      <c r="E7" s="264"/>
      <c r="F7" s="264"/>
      <c r="G7" s="298"/>
      <c r="H7" s="264"/>
      <c r="I7" s="264"/>
      <c r="J7" s="264"/>
      <c r="K7" s="264"/>
      <c r="L7" s="264"/>
      <c r="M7" s="306"/>
      <c r="N7" s="281">
        <f t="shared" si="0"/>
        <v>0</v>
      </c>
    </row>
    <row r="8" spans="1:14">
      <c r="A8" s="254"/>
      <c r="B8" s="278"/>
      <c r="C8" s="278"/>
      <c r="D8" s="278"/>
      <c r="E8" s="299"/>
      <c r="F8" s="299"/>
      <c r="G8" s="299"/>
      <c r="H8" s="278"/>
      <c r="I8" s="299"/>
      <c r="J8" s="278"/>
      <c r="K8" s="278"/>
      <c r="L8" s="278"/>
      <c r="M8" s="267"/>
      <c r="N8" s="281">
        <f t="shared" si="0"/>
        <v>0</v>
      </c>
    </row>
    <row r="9" spans="1:14">
      <c r="A9" s="254"/>
      <c r="B9" s="278"/>
      <c r="C9" s="278"/>
      <c r="D9" s="278"/>
      <c r="E9" s="299"/>
      <c r="F9" s="299"/>
      <c r="G9" s="299"/>
      <c r="H9" s="278"/>
      <c r="I9" s="299"/>
      <c r="J9" s="278"/>
      <c r="K9" s="278"/>
      <c r="L9" s="278"/>
      <c r="M9" s="267"/>
      <c r="N9" s="281">
        <f t="shared" si="0"/>
        <v>0</v>
      </c>
    </row>
    <row r="10" spans="1:14">
      <c r="A10" s="249"/>
      <c r="B10" s="99"/>
      <c r="C10" s="88"/>
      <c r="D10" s="88"/>
      <c r="E10" s="194"/>
      <c r="F10" s="88"/>
      <c r="G10" s="180"/>
      <c r="H10" s="6"/>
      <c r="I10" s="9"/>
      <c r="J10" s="6"/>
      <c r="K10" s="6"/>
      <c r="L10" s="19"/>
      <c r="M10" s="19"/>
      <c r="N10" s="281">
        <f t="shared" si="0"/>
        <v>0</v>
      </c>
    </row>
    <row r="11" spans="1:14">
      <c r="A11" s="249"/>
      <c r="B11" s="99"/>
      <c r="C11" s="88"/>
      <c r="D11" s="88"/>
      <c r="E11" s="100"/>
      <c r="F11" s="88"/>
      <c r="G11" s="180"/>
      <c r="H11" s="6"/>
      <c r="I11" s="9"/>
      <c r="J11" s="6"/>
      <c r="K11" s="6"/>
      <c r="L11" s="19"/>
      <c r="M11" s="19"/>
      <c r="N11" s="281">
        <f t="shared" si="0"/>
        <v>0</v>
      </c>
    </row>
    <row r="12" spans="1:14">
      <c r="A12" s="5" t="s">
        <v>14</v>
      </c>
      <c r="B12" s="224">
        <f t="shared" ref="B12:N12" si="1">SUM(B3:B11)</f>
        <v>0</v>
      </c>
      <c r="C12" s="224">
        <f t="shared" si="1"/>
        <v>0</v>
      </c>
      <c r="D12" s="224">
        <f t="shared" si="1"/>
        <v>0</v>
      </c>
      <c r="E12" s="224">
        <f t="shared" si="1"/>
        <v>0</v>
      </c>
      <c r="F12" s="224">
        <f t="shared" si="1"/>
        <v>0</v>
      </c>
      <c r="G12" s="224">
        <f t="shared" si="1"/>
        <v>0</v>
      </c>
      <c r="H12" s="224">
        <f t="shared" si="1"/>
        <v>0</v>
      </c>
      <c r="I12" s="224">
        <f t="shared" si="1"/>
        <v>0</v>
      </c>
      <c r="J12" s="224">
        <f t="shared" si="1"/>
        <v>0</v>
      </c>
      <c r="K12" s="224">
        <f t="shared" si="1"/>
        <v>0</v>
      </c>
      <c r="L12" s="224">
        <f t="shared" si="1"/>
        <v>0</v>
      </c>
      <c r="M12" s="224">
        <f t="shared" si="1"/>
        <v>0</v>
      </c>
      <c r="N12" s="224">
        <f t="shared" si="1"/>
        <v>0</v>
      </c>
    </row>
    <row r="14" spans="1:14">
      <c r="N14" s="234">
        <f>SUM(B12:M12)-N12</f>
        <v>0</v>
      </c>
    </row>
  </sheetData>
  <phoneticPr fontId="3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W40"/>
  <sheetViews>
    <sheetView workbookViewId="0">
      <selection activeCell="H22" sqref="H22"/>
    </sheetView>
  </sheetViews>
  <sheetFormatPr defaultRowHeight="15"/>
  <cols>
    <col min="4" max="4" width="9.85546875" bestFit="1" customWidth="1"/>
    <col min="6" max="6" width="13.5703125" customWidth="1"/>
    <col min="7" max="7" width="11.5703125" customWidth="1"/>
    <col min="8" max="8" width="11.42578125" customWidth="1"/>
    <col min="10" max="10" width="8.85546875" customWidth="1"/>
    <col min="11" max="19" width="10.85546875" customWidth="1"/>
    <col min="20" max="20" width="12.5703125" customWidth="1"/>
    <col min="21" max="21" width="9.85546875" customWidth="1"/>
  </cols>
  <sheetData>
    <row r="1" spans="1:21" ht="15.75">
      <c r="A1" s="33" t="s">
        <v>58</v>
      </c>
      <c r="B1" s="34"/>
      <c r="C1" s="34"/>
      <c r="D1" s="34"/>
      <c r="E1" s="34"/>
      <c r="F1" s="33"/>
      <c r="G1" s="35"/>
      <c r="H1" s="80" t="s">
        <v>57</v>
      </c>
      <c r="I1" s="80"/>
      <c r="J1" s="80"/>
      <c r="K1" s="80"/>
      <c r="L1" s="80"/>
      <c r="M1" s="80"/>
      <c r="N1" s="80"/>
      <c r="O1" s="35"/>
      <c r="P1" s="35"/>
      <c r="Q1" s="35"/>
      <c r="R1" s="35"/>
      <c r="S1" s="35"/>
      <c r="T1" s="35"/>
    </row>
    <row r="2" spans="1:21">
      <c r="A2" s="36" t="s">
        <v>34</v>
      </c>
      <c r="B2" s="37"/>
      <c r="C2" s="37"/>
      <c r="D2" s="37"/>
      <c r="E2" s="37"/>
      <c r="F2" s="376" t="s">
        <v>59</v>
      </c>
      <c r="G2" s="39" t="s">
        <v>60</v>
      </c>
      <c r="H2" s="21" t="s">
        <v>62</v>
      </c>
      <c r="I2" s="21"/>
      <c r="J2" s="21"/>
      <c r="K2" s="21"/>
      <c r="L2" s="21"/>
      <c r="M2" s="21"/>
      <c r="N2" s="21"/>
      <c r="O2" s="21"/>
      <c r="P2" s="21"/>
      <c r="Q2" s="21"/>
      <c r="R2" s="38"/>
      <c r="S2" s="38"/>
      <c r="T2" s="39" t="s">
        <v>36</v>
      </c>
    </row>
    <row r="3" spans="1:21">
      <c r="A3" s="40"/>
      <c r="B3" s="41"/>
      <c r="C3" s="41"/>
      <c r="D3" s="41"/>
      <c r="E3" s="41"/>
      <c r="F3" s="377"/>
      <c r="G3" s="44" t="s">
        <v>61</v>
      </c>
      <c r="H3" s="81" t="s">
        <v>1</v>
      </c>
      <c r="I3" s="42" t="s">
        <v>2</v>
      </c>
      <c r="J3" s="42" t="s">
        <v>3</v>
      </c>
      <c r="K3" s="42" t="s">
        <v>4</v>
      </c>
      <c r="L3" s="42" t="s">
        <v>5</v>
      </c>
      <c r="M3" s="42" t="s">
        <v>6</v>
      </c>
      <c r="N3" s="42" t="s">
        <v>7</v>
      </c>
      <c r="O3" s="42" t="s">
        <v>8</v>
      </c>
      <c r="P3" s="42" t="s">
        <v>9</v>
      </c>
      <c r="Q3" s="42" t="s">
        <v>10</v>
      </c>
      <c r="R3" s="43" t="s">
        <v>11</v>
      </c>
      <c r="S3" s="43" t="s">
        <v>12</v>
      </c>
      <c r="T3" s="44"/>
    </row>
    <row r="4" spans="1:21">
      <c r="A4" s="45" t="s">
        <v>37</v>
      </c>
      <c r="B4" s="46"/>
      <c r="C4" s="46"/>
      <c r="D4" s="46"/>
      <c r="E4" s="46"/>
      <c r="F4" s="47">
        <v>25090303</v>
      </c>
      <c r="G4" s="47">
        <f>F4/12</f>
        <v>2090858.5833333333</v>
      </c>
      <c r="H4" s="48">
        <v>2150745</v>
      </c>
      <c r="I4" s="49"/>
      <c r="J4" s="49"/>
      <c r="K4" s="49"/>
      <c r="L4" s="49"/>
      <c r="M4" s="49"/>
      <c r="N4" s="49"/>
      <c r="O4" s="49"/>
      <c r="P4" s="49"/>
      <c r="Q4" s="49"/>
      <c r="R4" s="50"/>
      <c r="S4" s="50"/>
      <c r="T4" s="51">
        <f t="shared" ref="T4:T9" si="0">SUM(H4:S4)</f>
        <v>2150745</v>
      </c>
      <c r="U4" s="52"/>
    </row>
    <row r="5" spans="1:21">
      <c r="A5" s="45" t="s">
        <v>38</v>
      </c>
      <c r="B5" s="46"/>
      <c r="C5" s="46"/>
      <c r="D5" s="46"/>
      <c r="E5" s="46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4"/>
      <c r="S5" s="50"/>
      <c r="T5" s="51">
        <f t="shared" si="0"/>
        <v>0</v>
      </c>
    </row>
    <row r="6" spans="1:21">
      <c r="A6" s="45" t="s">
        <v>39</v>
      </c>
      <c r="B6" s="46"/>
      <c r="C6" s="46"/>
      <c r="D6" s="46"/>
      <c r="E6" s="46"/>
      <c r="F6" s="53"/>
      <c r="G6" s="53"/>
      <c r="H6" s="48">
        <v>36280</v>
      </c>
      <c r="I6" s="49"/>
      <c r="J6" s="49"/>
      <c r="K6" s="49"/>
      <c r="L6" s="49"/>
      <c r="M6" s="49"/>
      <c r="N6" s="49"/>
      <c r="O6" s="49"/>
      <c r="P6" s="49"/>
      <c r="Q6" s="49"/>
      <c r="R6" s="50"/>
      <c r="S6" s="50"/>
      <c r="T6" s="51">
        <f t="shared" si="0"/>
        <v>36280</v>
      </c>
    </row>
    <row r="7" spans="1:21">
      <c r="A7" s="45" t="s">
        <v>40</v>
      </c>
      <c r="B7" s="46"/>
      <c r="C7" s="46"/>
      <c r="D7" s="46"/>
      <c r="E7" s="46"/>
      <c r="F7" s="53"/>
      <c r="G7" s="53"/>
      <c r="H7" s="49"/>
      <c r="I7" s="49"/>
      <c r="J7" s="49"/>
      <c r="K7" s="49"/>
      <c r="L7" s="49"/>
      <c r="M7" s="49"/>
      <c r="N7" s="49"/>
      <c r="O7" s="49"/>
      <c r="P7" s="49"/>
      <c r="Q7" s="49"/>
      <c r="R7" s="50"/>
      <c r="S7" s="50"/>
      <c r="T7" s="51">
        <f t="shared" si="0"/>
        <v>0</v>
      </c>
      <c r="U7" s="37"/>
    </row>
    <row r="8" spans="1:21">
      <c r="A8" s="45" t="s">
        <v>41</v>
      </c>
      <c r="B8" s="46"/>
      <c r="C8" s="46"/>
      <c r="D8" s="46"/>
      <c r="E8" s="46"/>
      <c r="F8" s="53"/>
      <c r="G8" s="53"/>
      <c r="H8" s="49"/>
      <c r="I8" s="49"/>
      <c r="J8" s="49"/>
      <c r="K8" s="49"/>
      <c r="L8" s="49"/>
      <c r="M8" s="49"/>
      <c r="N8" s="49"/>
      <c r="O8" s="49"/>
      <c r="P8" s="49"/>
      <c r="Q8" s="49"/>
      <c r="R8" s="50"/>
      <c r="S8" s="50"/>
      <c r="T8" s="55">
        <f t="shared" si="0"/>
        <v>0</v>
      </c>
    </row>
    <row r="9" spans="1:21">
      <c r="A9" s="56" t="s">
        <v>42</v>
      </c>
      <c r="B9" s="45"/>
      <c r="C9" s="46"/>
      <c r="D9" s="46"/>
      <c r="E9" s="46"/>
      <c r="F9" s="53"/>
      <c r="G9" s="53"/>
      <c r="H9" s="48">
        <f>15000+99836+10860</f>
        <v>125696</v>
      </c>
      <c r="I9" s="49"/>
      <c r="J9" s="53"/>
      <c r="K9" s="53"/>
      <c r="L9" s="53"/>
      <c r="M9" s="53"/>
      <c r="N9" s="53"/>
      <c r="O9" s="53"/>
      <c r="P9" s="49"/>
      <c r="Q9" s="53"/>
      <c r="R9" s="54"/>
      <c r="S9" s="54"/>
      <c r="T9" s="55">
        <f t="shared" si="0"/>
        <v>125696</v>
      </c>
    </row>
    <row r="10" spans="1:21" ht="15.75">
      <c r="A10" s="79"/>
      <c r="B10" s="77" t="s">
        <v>43</v>
      </c>
      <c r="C10" s="77"/>
      <c r="D10" s="77"/>
      <c r="E10" s="77"/>
      <c r="F10" s="76">
        <f>SUM(F4:F9)</f>
        <v>25090303</v>
      </c>
      <c r="G10" s="76">
        <f>SUM(G4:G9)</f>
        <v>2090858.5833333333</v>
      </c>
      <c r="H10" s="78">
        <f>SUM(H4:H9)</f>
        <v>2312721</v>
      </c>
      <c r="I10" s="49"/>
      <c r="J10" s="49"/>
      <c r="K10" s="49"/>
      <c r="L10" s="49"/>
      <c r="M10" s="49"/>
      <c r="N10" s="49"/>
      <c r="O10" s="49"/>
      <c r="P10" s="49"/>
      <c r="Q10" s="49"/>
      <c r="R10" s="50"/>
      <c r="S10" s="50"/>
      <c r="T10" s="51">
        <f>SUM(T4:T9)</f>
        <v>2312721</v>
      </c>
    </row>
    <row r="11" spans="1:21">
      <c r="A11" s="46"/>
      <c r="B11" s="46"/>
      <c r="C11" s="46"/>
      <c r="D11" s="46"/>
      <c r="E11" s="46"/>
      <c r="F11" s="34" t="s">
        <v>44</v>
      </c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57"/>
      <c r="S11" s="57"/>
      <c r="T11" s="34"/>
      <c r="U11" s="58" t="s">
        <v>45</v>
      </c>
    </row>
    <row r="12" spans="1:21">
      <c r="A12" s="59" t="s">
        <v>0</v>
      </c>
      <c r="B12" s="46"/>
      <c r="C12" s="46"/>
      <c r="D12" s="46"/>
      <c r="E12" s="46"/>
      <c r="F12" s="60">
        <v>900000</v>
      </c>
      <c r="G12" s="60">
        <f>F12/12</f>
        <v>75000</v>
      </c>
      <c r="H12" s="71">
        <v>63332</v>
      </c>
      <c r="I12" s="49"/>
      <c r="J12" s="49"/>
      <c r="K12" s="49"/>
      <c r="L12" s="49"/>
      <c r="M12" s="49"/>
      <c r="N12" s="49"/>
      <c r="O12" s="49"/>
      <c r="P12" s="49"/>
      <c r="Q12" s="49"/>
      <c r="R12" s="50"/>
      <c r="S12" s="50"/>
      <c r="T12" s="61">
        <f>SUM(H12:S12)</f>
        <v>63332</v>
      </c>
      <c r="U12" s="62">
        <f t="shared" ref="U12:U32" si="1">G12*12-T12</f>
        <v>836668</v>
      </c>
    </row>
    <row r="13" spans="1:21">
      <c r="A13" s="63" t="s">
        <v>15</v>
      </c>
      <c r="B13" s="41"/>
      <c r="C13" s="41"/>
      <c r="D13" s="41"/>
      <c r="E13" s="41"/>
      <c r="F13" s="64">
        <v>160000</v>
      </c>
      <c r="G13" s="60">
        <f t="shared" ref="G13:G32" si="2">F13/12</f>
        <v>13333.333333333334</v>
      </c>
      <c r="H13" s="65">
        <v>11634</v>
      </c>
      <c r="I13" s="66"/>
      <c r="J13" s="66"/>
      <c r="K13" s="66"/>
      <c r="L13" s="66"/>
      <c r="M13" s="66"/>
      <c r="N13" s="66"/>
      <c r="O13" s="66"/>
      <c r="P13" s="66"/>
      <c r="Q13" s="66"/>
      <c r="R13" s="67"/>
      <c r="S13" s="67"/>
      <c r="T13" s="51">
        <f t="shared" ref="T13:T32" si="3">SUM(H13:S13)</f>
        <v>11634</v>
      </c>
      <c r="U13" s="68">
        <f t="shared" si="1"/>
        <v>148366</v>
      </c>
    </row>
    <row r="14" spans="1:21">
      <c r="A14" s="59" t="s">
        <v>16</v>
      </c>
      <c r="B14" s="46"/>
      <c r="C14" s="46"/>
      <c r="D14" s="46"/>
      <c r="E14" s="69"/>
      <c r="F14" s="60">
        <v>140000</v>
      </c>
      <c r="G14" s="60">
        <f t="shared" si="2"/>
        <v>11666.666666666666</v>
      </c>
      <c r="H14" s="71">
        <v>6336</v>
      </c>
      <c r="I14" s="49"/>
      <c r="J14" s="49"/>
      <c r="K14" s="49"/>
      <c r="L14" s="49"/>
      <c r="M14" s="49"/>
      <c r="N14" s="49"/>
      <c r="O14" s="49"/>
      <c r="P14" s="49"/>
      <c r="Q14" s="49"/>
      <c r="R14" s="50"/>
      <c r="S14" s="50"/>
      <c r="T14" s="51">
        <f t="shared" si="3"/>
        <v>6336</v>
      </c>
      <c r="U14" s="62">
        <f t="shared" si="1"/>
        <v>133664</v>
      </c>
    </row>
    <row r="15" spans="1:21">
      <c r="A15" s="63" t="s">
        <v>17</v>
      </c>
      <c r="B15" s="41"/>
      <c r="C15" s="41"/>
      <c r="D15" s="41"/>
      <c r="E15" s="70"/>
      <c r="F15" s="64">
        <v>300000</v>
      </c>
      <c r="G15" s="60">
        <f t="shared" si="2"/>
        <v>25000</v>
      </c>
      <c r="H15" s="65">
        <v>70000</v>
      </c>
      <c r="I15" s="66"/>
      <c r="J15" s="66"/>
      <c r="K15" s="66"/>
      <c r="L15" s="66"/>
      <c r="M15" s="66"/>
      <c r="N15" s="66"/>
      <c r="O15" s="66"/>
      <c r="P15" s="66"/>
      <c r="Q15" s="66"/>
      <c r="R15" s="67"/>
      <c r="S15" s="67"/>
      <c r="T15" s="51">
        <f>SUM(H15:S15)</f>
        <v>70000</v>
      </c>
      <c r="U15" s="68">
        <f t="shared" si="1"/>
        <v>230000</v>
      </c>
    </row>
    <row r="16" spans="1:21">
      <c r="A16" s="63" t="s">
        <v>46</v>
      </c>
      <c r="B16" s="41"/>
      <c r="C16" s="41"/>
      <c r="D16" s="41"/>
      <c r="E16" s="70"/>
      <c r="F16" s="64">
        <v>7890000</v>
      </c>
      <c r="G16" s="60">
        <f t="shared" si="2"/>
        <v>657500</v>
      </c>
      <c r="H16" s="65">
        <v>729871</v>
      </c>
      <c r="I16" s="66"/>
      <c r="J16" s="66"/>
      <c r="K16" s="66"/>
      <c r="L16" s="66"/>
      <c r="M16" s="66"/>
      <c r="N16" s="66"/>
      <c r="O16" s="66"/>
      <c r="P16" s="66"/>
      <c r="Q16" s="66"/>
      <c r="R16" s="67"/>
      <c r="S16" s="67"/>
      <c r="T16" s="51">
        <f>SUM(H16:S16)</f>
        <v>729871</v>
      </c>
      <c r="U16" s="62">
        <f t="shared" si="1"/>
        <v>7160129</v>
      </c>
    </row>
    <row r="17" spans="1:23">
      <c r="A17" s="63" t="s">
        <v>19</v>
      </c>
      <c r="B17" s="41"/>
      <c r="C17" s="41"/>
      <c r="D17" s="41"/>
      <c r="E17" s="41"/>
      <c r="F17" s="64">
        <v>500000</v>
      </c>
      <c r="G17" s="60">
        <f t="shared" si="2"/>
        <v>41666.666666666664</v>
      </c>
      <c r="H17" s="65">
        <v>9200</v>
      </c>
      <c r="I17" s="66"/>
      <c r="J17" s="66"/>
      <c r="K17" s="66"/>
      <c r="L17" s="66"/>
      <c r="M17" s="66"/>
      <c r="N17" s="66"/>
      <c r="O17" s="66"/>
      <c r="P17" s="66"/>
      <c r="Q17" s="66"/>
      <c r="R17" s="67"/>
      <c r="S17" s="67"/>
      <c r="T17" s="51">
        <f>SUM(H17:S17)</f>
        <v>9200</v>
      </c>
      <c r="U17" s="68">
        <f t="shared" si="1"/>
        <v>490800</v>
      </c>
    </row>
    <row r="18" spans="1:23">
      <c r="A18" s="63" t="s">
        <v>20</v>
      </c>
      <c r="B18" s="41"/>
      <c r="C18" s="41"/>
      <c r="D18" s="41"/>
      <c r="E18" s="41"/>
      <c r="F18" s="64">
        <v>2517000</v>
      </c>
      <c r="G18" s="60">
        <f t="shared" si="2"/>
        <v>209750</v>
      </c>
      <c r="H18" s="65">
        <v>215933</v>
      </c>
      <c r="I18" s="66"/>
      <c r="J18" s="66"/>
      <c r="K18" s="66"/>
      <c r="L18" s="66"/>
      <c r="M18" s="66"/>
      <c r="N18" s="66"/>
      <c r="O18" s="66"/>
      <c r="P18" s="66"/>
      <c r="Q18" s="66"/>
      <c r="R18" s="67"/>
      <c r="S18" s="67"/>
      <c r="T18" s="51">
        <f>SUM(H18:S18)</f>
        <v>215933</v>
      </c>
      <c r="U18" s="62">
        <f t="shared" si="1"/>
        <v>2301067</v>
      </c>
    </row>
    <row r="19" spans="1:23">
      <c r="A19" s="63" t="s">
        <v>47</v>
      </c>
      <c r="B19" s="41"/>
      <c r="C19" s="41"/>
      <c r="D19" s="41"/>
      <c r="E19" s="41"/>
      <c r="F19" s="64">
        <v>200000</v>
      </c>
      <c r="G19" s="60">
        <f t="shared" si="2"/>
        <v>16666.666666666668</v>
      </c>
      <c r="H19" s="65">
        <v>0</v>
      </c>
      <c r="I19" s="66"/>
      <c r="J19" s="66"/>
      <c r="K19" s="66"/>
      <c r="L19" s="66"/>
      <c r="M19" s="66"/>
      <c r="N19" s="66"/>
      <c r="O19" s="66"/>
      <c r="P19" s="66"/>
      <c r="Q19" s="66"/>
      <c r="R19" s="67"/>
      <c r="S19" s="67"/>
      <c r="T19" s="61">
        <f t="shared" si="3"/>
        <v>0</v>
      </c>
      <c r="U19" s="68">
        <f t="shared" si="1"/>
        <v>200000</v>
      </c>
    </row>
    <row r="20" spans="1:23">
      <c r="A20" s="59" t="s">
        <v>22</v>
      </c>
      <c r="B20" s="46"/>
      <c r="C20" s="46"/>
      <c r="D20" s="46"/>
      <c r="E20" s="46"/>
      <c r="F20" s="60">
        <v>1950000</v>
      </c>
      <c r="G20" s="60">
        <f t="shared" si="2"/>
        <v>162500</v>
      </c>
      <c r="H20" s="74">
        <v>179000</v>
      </c>
      <c r="I20" s="49"/>
      <c r="J20" s="49"/>
      <c r="K20" s="49"/>
      <c r="L20" s="49"/>
      <c r="M20" s="49"/>
      <c r="N20" s="49"/>
      <c r="O20" s="49"/>
      <c r="P20" s="49"/>
      <c r="Q20" s="49"/>
      <c r="R20" s="50"/>
      <c r="S20" s="50"/>
      <c r="T20" s="51">
        <f t="shared" si="3"/>
        <v>179000</v>
      </c>
      <c r="U20" s="62">
        <f t="shared" si="1"/>
        <v>1771000</v>
      </c>
    </row>
    <row r="21" spans="1:23">
      <c r="A21" s="59" t="s">
        <v>23</v>
      </c>
      <c r="B21" s="46"/>
      <c r="C21" s="46"/>
      <c r="D21" s="46"/>
      <c r="E21" s="69"/>
      <c r="F21" s="60">
        <v>7400000</v>
      </c>
      <c r="G21" s="60">
        <f t="shared" si="2"/>
        <v>616666.66666666663</v>
      </c>
      <c r="H21" s="71">
        <v>566600</v>
      </c>
      <c r="I21" s="49"/>
      <c r="J21" s="49"/>
      <c r="K21" s="49"/>
      <c r="L21" s="49"/>
      <c r="M21" s="49"/>
      <c r="N21" s="49"/>
      <c r="O21" s="49"/>
      <c r="P21" s="49"/>
      <c r="Q21" s="49"/>
      <c r="R21" s="50"/>
      <c r="S21" s="50"/>
      <c r="T21" s="51">
        <f t="shared" si="3"/>
        <v>566600</v>
      </c>
      <c r="U21" s="68">
        <f t="shared" si="1"/>
        <v>6833400</v>
      </c>
    </row>
    <row r="22" spans="1:23">
      <c r="A22" s="63" t="s">
        <v>24</v>
      </c>
      <c r="B22" s="41"/>
      <c r="C22" s="41"/>
      <c r="D22" s="41"/>
      <c r="E22" s="41"/>
      <c r="F22" s="64">
        <v>230000</v>
      </c>
      <c r="G22" s="60">
        <f t="shared" si="2"/>
        <v>19166.666666666668</v>
      </c>
      <c r="H22" s="65">
        <v>17252</v>
      </c>
      <c r="I22" s="66"/>
      <c r="J22" s="66"/>
      <c r="K22" s="66"/>
      <c r="L22" s="66"/>
      <c r="M22" s="66"/>
      <c r="N22" s="66"/>
      <c r="O22" s="66"/>
      <c r="P22" s="66"/>
      <c r="Q22" s="66"/>
      <c r="R22" s="67"/>
      <c r="S22" s="67"/>
      <c r="T22" s="51">
        <f t="shared" si="3"/>
        <v>17252</v>
      </c>
      <c r="U22" s="62">
        <f t="shared" si="1"/>
        <v>212748</v>
      </c>
    </row>
    <row r="23" spans="1:23">
      <c r="A23" s="59" t="s">
        <v>25</v>
      </c>
      <c r="B23" s="46"/>
      <c r="C23" s="46"/>
      <c r="D23" s="46"/>
      <c r="E23" s="46"/>
      <c r="F23" s="60">
        <v>1240000</v>
      </c>
      <c r="G23" s="60">
        <f t="shared" si="2"/>
        <v>103333.33333333333</v>
      </c>
      <c r="H23" s="71">
        <v>128037</v>
      </c>
      <c r="I23" s="49"/>
      <c r="J23" s="49"/>
      <c r="K23" s="49"/>
      <c r="L23" s="49"/>
      <c r="M23" s="49"/>
      <c r="N23" s="49"/>
      <c r="O23" s="49"/>
      <c r="P23" s="49"/>
      <c r="Q23" s="49"/>
      <c r="R23" s="50"/>
      <c r="S23" s="50"/>
      <c r="T23" s="51">
        <f t="shared" si="3"/>
        <v>128037</v>
      </c>
      <c r="U23" s="68">
        <f t="shared" si="1"/>
        <v>1111963</v>
      </c>
    </row>
    <row r="24" spans="1:23">
      <c r="A24" s="59" t="s">
        <v>48</v>
      </c>
      <c r="B24" s="46"/>
      <c r="C24" s="46"/>
      <c r="D24" s="46"/>
      <c r="E24" s="46"/>
      <c r="F24" s="60">
        <f>250000+480000</f>
        <v>730000</v>
      </c>
      <c r="G24" s="60">
        <f t="shared" si="2"/>
        <v>60833.333333333336</v>
      </c>
      <c r="H24" s="71">
        <v>72400</v>
      </c>
      <c r="I24" s="49"/>
      <c r="J24" s="49"/>
      <c r="K24" s="49"/>
      <c r="L24" s="49"/>
      <c r="M24" s="49"/>
      <c r="N24" s="49"/>
      <c r="O24" s="49"/>
      <c r="P24" s="49"/>
      <c r="Q24" s="49"/>
      <c r="R24" s="50"/>
      <c r="S24" s="50"/>
      <c r="T24" s="51">
        <f t="shared" si="3"/>
        <v>72400</v>
      </c>
      <c r="U24" s="62">
        <f t="shared" si="1"/>
        <v>657600</v>
      </c>
    </row>
    <row r="25" spans="1:23">
      <c r="A25" s="59" t="s">
        <v>49</v>
      </c>
      <c r="B25" s="46"/>
      <c r="C25" s="46"/>
      <c r="D25" s="46"/>
      <c r="E25" s="46"/>
      <c r="F25" s="60">
        <v>250000</v>
      </c>
      <c r="G25" s="60">
        <f t="shared" si="2"/>
        <v>20833.333333333332</v>
      </c>
      <c r="H25" s="71">
        <v>1080</v>
      </c>
      <c r="I25" s="49"/>
      <c r="J25" s="49"/>
      <c r="K25" s="49"/>
      <c r="L25" s="49"/>
      <c r="M25" s="49"/>
      <c r="N25" s="49"/>
      <c r="O25" s="49"/>
      <c r="P25" s="49"/>
      <c r="Q25" s="49"/>
      <c r="R25" s="50"/>
      <c r="S25" s="50"/>
      <c r="T25" s="61">
        <f t="shared" si="3"/>
        <v>1080</v>
      </c>
      <c r="U25" s="68">
        <f t="shared" si="1"/>
        <v>248920</v>
      </c>
    </row>
    <row r="26" spans="1:23">
      <c r="A26" s="59" t="s">
        <v>50</v>
      </c>
      <c r="B26" s="46"/>
      <c r="C26" s="46"/>
      <c r="D26" s="46"/>
      <c r="E26" s="46"/>
      <c r="F26" s="60">
        <v>1800000</v>
      </c>
      <c r="G26" s="60">
        <f t="shared" si="2"/>
        <v>150000</v>
      </c>
      <c r="H26" s="71">
        <v>98486</v>
      </c>
      <c r="I26" s="49"/>
      <c r="J26" s="49"/>
      <c r="K26" s="49"/>
      <c r="L26" s="49"/>
      <c r="M26" s="49"/>
      <c r="N26" s="49"/>
      <c r="O26" s="49"/>
      <c r="P26" s="49"/>
      <c r="Q26" s="49"/>
      <c r="R26" s="50"/>
      <c r="S26" s="50"/>
      <c r="T26" s="51">
        <f t="shared" si="3"/>
        <v>98486</v>
      </c>
      <c r="U26" s="62">
        <f t="shared" si="1"/>
        <v>1701514</v>
      </c>
    </row>
    <row r="27" spans="1:23">
      <c r="A27" s="59" t="s">
        <v>28</v>
      </c>
      <c r="B27" s="46"/>
      <c r="C27" s="46"/>
      <c r="D27" s="46"/>
      <c r="E27" s="46"/>
      <c r="F27" s="60">
        <v>1700000</v>
      </c>
      <c r="G27" s="60">
        <f t="shared" si="2"/>
        <v>141666.66666666666</v>
      </c>
      <c r="H27" s="74">
        <v>0</v>
      </c>
      <c r="I27" s="49"/>
      <c r="J27" s="49"/>
      <c r="K27" s="53"/>
      <c r="L27" s="53"/>
      <c r="M27" s="53"/>
      <c r="N27" s="49"/>
      <c r="O27" s="49"/>
      <c r="P27" s="49"/>
      <c r="Q27" s="49"/>
      <c r="R27" s="50"/>
      <c r="S27" s="50"/>
      <c r="T27" s="61">
        <f t="shared" si="3"/>
        <v>0</v>
      </c>
      <c r="U27" s="68">
        <f t="shared" si="1"/>
        <v>1700000</v>
      </c>
    </row>
    <row r="28" spans="1:23">
      <c r="A28" s="59" t="s">
        <v>51</v>
      </c>
      <c r="B28" s="46"/>
      <c r="C28" s="46"/>
      <c r="D28" s="46"/>
      <c r="E28" s="46"/>
      <c r="F28" s="60"/>
      <c r="G28" s="60">
        <f t="shared" si="2"/>
        <v>0</v>
      </c>
      <c r="H28" s="49">
        <v>0</v>
      </c>
      <c r="I28" s="49"/>
      <c r="J28" s="49"/>
      <c r="K28" s="53"/>
      <c r="L28" s="53"/>
      <c r="M28" s="53"/>
      <c r="N28" s="49"/>
      <c r="O28" s="49"/>
      <c r="P28" s="49"/>
      <c r="Q28" s="49"/>
      <c r="R28" s="50"/>
      <c r="S28" s="50"/>
      <c r="T28" s="61">
        <f t="shared" si="3"/>
        <v>0</v>
      </c>
      <c r="U28" s="62">
        <f t="shared" si="1"/>
        <v>0</v>
      </c>
    </row>
    <row r="29" spans="1:23">
      <c r="A29" s="59" t="s">
        <v>29</v>
      </c>
      <c r="B29" s="46"/>
      <c r="C29" s="46"/>
      <c r="D29" s="46"/>
      <c r="E29" s="46"/>
      <c r="F29" s="60">
        <v>600000</v>
      </c>
      <c r="G29" s="60">
        <f t="shared" si="2"/>
        <v>50000</v>
      </c>
      <c r="H29" s="71">
        <v>22864</v>
      </c>
      <c r="I29" s="49"/>
      <c r="J29" s="49"/>
      <c r="K29" s="53"/>
      <c r="L29" s="53"/>
      <c r="M29" s="53"/>
      <c r="N29" s="49"/>
      <c r="O29" s="49"/>
      <c r="P29" s="49"/>
      <c r="Q29" s="49"/>
      <c r="R29" s="50"/>
      <c r="S29" s="50"/>
      <c r="T29" s="51">
        <f t="shared" si="3"/>
        <v>22864</v>
      </c>
      <c r="U29" s="68">
        <f t="shared" si="1"/>
        <v>577136</v>
      </c>
    </row>
    <row r="30" spans="1:23">
      <c r="A30" s="59" t="s">
        <v>52</v>
      </c>
      <c r="B30" s="46"/>
      <c r="C30" s="46"/>
      <c r="D30" s="46"/>
      <c r="E30" s="46"/>
      <c r="F30" s="60">
        <v>250000</v>
      </c>
      <c r="G30" s="60">
        <f t="shared" si="2"/>
        <v>20833.333333333332</v>
      </c>
      <c r="H30" s="71">
        <v>11304</v>
      </c>
      <c r="I30" s="49"/>
      <c r="J30" s="49"/>
      <c r="K30" s="49"/>
      <c r="L30" s="49"/>
      <c r="M30" s="49"/>
      <c r="N30" s="49"/>
      <c r="O30" s="49"/>
      <c r="P30" s="49"/>
      <c r="Q30" s="49"/>
      <c r="R30" s="50"/>
      <c r="S30" s="50"/>
      <c r="T30" s="51">
        <f t="shared" si="3"/>
        <v>11304</v>
      </c>
      <c r="U30" s="62">
        <f t="shared" si="1"/>
        <v>238696</v>
      </c>
    </row>
    <row r="31" spans="1:23">
      <c r="A31" s="59" t="s">
        <v>53</v>
      </c>
      <c r="B31" s="46"/>
      <c r="C31" s="46"/>
      <c r="D31" s="46"/>
      <c r="E31" s="46"/>
      <c r="F31" s="60">
        <v>719200</v>
      </c>
      <c r="G31" s="60">
        <f t="shared" si="2"/>
        <v>59933.333333333336</v>
      </c>
      <c r="H31" s="49">
        <v>0</v>
      </c>
      <c r="I31" s="49"/>
      <c r="J31" s="49"/>
      <c r="K31" s="49"/>
      <c r="L31" s="49"/>
      <c r="M31" s="49"/>
      <c r="N31" s="49"/>
      <c r="O31" s="49"/>
      <c r="P31" s="49"/>
      <c r="Q31" s="49"/>
      <c r="R31" s="50"/>
      <c r="S31" s="50"/>
      <c r="T31" s="51">
        <f t="shared" si="3"/>
        <v>0</v>
      </c>
      <c r="U31" s="68">
        <f t="shared" si="1"/>
        <v>719200</v>
      </c>
    </row>
    <row r="32" spans="1:23">
      <c r="A32" s="59" t="s">
        <v>54</v>
      </c>
      <c r="B32" s="46"/>
      <c r="C32" s="46"/>
      <c r="D32" s="46"/>
      <c r="E32" s="46"/>
      <c r="F32" s="60">
        <v>1473800</v>
      </c>
      <c r="G32" s="60">
        <f t="shared" si="2"/>
        <v>122816.66666666667</v>
      </c>
      <c r="H32" s="49">
        <v>0</v>
      </c>
      <c r="I32" s="49"/>
      <c r="J32" s="49"/>
      <c r="K32" s="53"/>
      <c r="L32" s="53"/>
      <c r="M32" s="53"/>
      <c r="N32" s="49"/>
      <c r="O32" s="49"/>
      <c r="P32" s="49"/>
      <c r="Q32" s="49"/>
      <c r="R32" s="50"/>
      <c r="S32" s="50"/>
      <c r="T32" s="61">
        <f t="shared" si="3"/>
        <v>0</v>
      </c>
      <c r="U32" s="68">
        <f t="shared" si="1"/>
        <v>1473800</v>
      </c>
      <c r="V32" s="37"/>
      <c r="W32" s="37"/>
    </row>
    <row r="33" spans="1:21" ht="15.75">
      <c r="A33" s="72" t="s">
        <v>55</v>
      </c>
      <c r="B33" s="34"/>
      <c r="C33" s="46"/>
      <c r="D33" s="46"/>
      <c r="E33" s="46"/>
      <c r="F33" s="75">
        <f>SUM(F12:F32)</f>
        <v>30950000</v>
      </c>
      <c r="G33" s="75">
        <f>SUM(G12:G32)</f>
        <v>2579166.6666666665</v>
      </c>
      <c r="H33" s="75">
        <f>SUM(H12:H32)</f>
        <v>2203329</v>
      </c>
      <c r="I33" s="49">
        <f t="shared" ref="I33:T33" si="4">SUM(I12:I32)</f>
        <v>0</v>
      </c>
      <c r="J33" s="49">
        <f t="shared" si="4"/>
        <v>0</v>
      </c>
      <c r="K33" s="49">
        <f t="shared" si="4"/>
        <v>0</v>
      </c>
      <c r="L33" s="49">
        <f t="shared" si="4"/>
        <v>0</v>
      </c>
      <c r="M33" s="49">
        <f t="shared" si="4"/>
        <v>0</v>
      </c>
      <c r="N33" s="49">
        <f t="shared" si="4"/>
        <v>0</v>
      </c>
      <c r="O33" s="49">
        <f t="shared" si="4"/>
        <v>0</v>
      </c>
      <c r="P33" s="49">
        <f t="shared" si="4"/>
        <v>0</v>
      </c>
      <c r="Q33" s="49">
        <f t="shared" si="4"/>
        <v>0</v>
      </c>
      <c r="R33" s="50">
        <f t="shared" si="4"/>
        <v>0</v>
      </c>
      <c r="S33" s="50">
        <f t="shared" si="4"/>
        <v>0</v>
      </c>
      <c r="T33" s="51">
        <f t="shared" si="4"/>
        <v>2203329</v>
      </c>
      <c r="U33" s="62">
        <f>SUM(U12:U32)</f>
        <v>28746671</v>
      </c>
    </row>
    <row r="35" spans="1:21">
      <c r="Q35" s="73"/>
    </row>
    <row r="37" spans="1:21">
      <c r="T37" s="52"/>
    </row>
    <row r="40" spans="1:21">
      <c r="O40" s="37"/>
    </row>
  </sheetData>
  <mergeCells count="1">
    <mergeCell ref="F2:F3"/>
  </mergeCells>
  <phoneticPr fontId="31" type="noConversion"/>
  <pageMargins left="0.70866141732283472" right="0.70866141732283472" top="0" bottom="0" header="0" footer="0"/>
  <pageSetup paperSize="9" orientation="landscape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N74"/>
  <sheetViews>
    <sheetView zoomScale="80" zoomScaleNormal="80" workbookViewId="0">
      <selection activeCell="D9" sqref="D9"/>
    </sheetView>
  </sheetViews>
  <sheetFormatPr defaultRowHeight="15"/>
  <cols>
    <col min="1" max="1" width="34.85546875" bestFit="1" customWidth="1"/>
    <col min="2" max="2" width="9.140625" style="30"/>
    <col min="3" max="3" width="10.7109375" style="30" customWidth="1"/>
    <col min="4" max="4" width="9.140625" style="30"/>
    <col min="5" max="5" width="11.85546875" style="30" bestFit="1" customWidth="1"/>
    <col min="6" max="6" width="9.140625" style="30"/>
    <col min="7" max="7" width="8" style="30" customWidth="1"/>
    <col min="8" max="8" width="8.140625" style="30" customWidth="1"/>
    <col min="9" max="9" width="8" style="30" customWidth="1"/>
    <col min="10" max="10" width="8.140625" style="30" customWidth="1"/>
    <col min="11" max="12" width="7.7109375" style="30" customWidth="1"/>
    <col min="13" max="13" width="9.140625" style="30"/>
    <col min="14" max="14" width="12.85546875" style="269" bestFit="1" customWidth="1"/>
  </cols>
  <sheetData>
    <row r="1" spans="1:14">
      <c r="A1" s="14" t="s">
        <v>0</v>
      </c>
      <c r="B1" s="25"/>
      <c r="C1" s="25"/>
      <c r="D1" s="25"/>
      <c r="E1" s="25"/>
      <c r="F1" s="27"/>
      <c r="G1" s="27" t="str">
        <f ca="1">'ВСЕ затраты в 2020-2021 гг'!C1</f>
        <v>2021-2022гг.</v>
      </c>
      <c r="H1" s="25"/>
      <c r="I1" s="25"/>
      <c r="J1" s="25"/>
      <c r="K1" s="25"/>
      <c r="L1" s="25"/>
      <c r="M1" s="25"/>
      <c r="N1" s="265"/>
    </row>
    <row r="2" spans="1:14">
      <c r="A2" s="1"/>
      <c r="B2" s="22" t="s">
        <v>1</v>
      </c>
      <c r="C2" s="22" t="s">
        <v>2</v>
      </c>
      <c r="D2" s="24" t="s">
        <v>3</v>
      </c>
      <c r="E2" s="22" t="s">
        <v>4</v>
      </c>
      <c r="F2" s="22" t="s">
        <v>5</v>
      </c>
      <c r="G2" s="23" t="s">
        <v>6</v>
      </c>
      <c r="H2" s="22" t="s">
        <v>7</v>
      </c>
      <c r="I2" s="23" t="s">
        <v>8</v>
      </c>
      <c r="J2" s="22" t="s">
        <v>9</v>
      </c>
      <c r="K2" s="22" t="s">
        <v>10</v>
      </c>
      <c r="L2" s="22" t="s">
        <v>11</v>
      </c>
      <c r="M2" s="22" t="s">
        <v>12</v>
      </c>
      <c r="N2" s="266" t="s">
        <v>14</v>
      </c>
    </row>
    <row r="3" spans="1:14">
      <c r="A3" s="2"/>
      <c r="B3" s="29"/>
      <c r="C3" s="29"/>
      <c r="D3" s="199"/>
      <c r="E3" s="29"/>
      <c r="F3" s="29"/>
      <c r="G3" s="28"/>
      <c r="H3" s="29"/>
      <c r="I3" s="28"/>
      <c r="J3" s="29"/>
      <c r="K3" s="29"/>
      <c r="L3" s="29"/>
      <c r="M3" s="29"/>
      <c r="N3" s="267"/>
    </row>
    <row r="4" spans="1:14">
      <c r="A4" s="273" t="s">
        <v>90</v>
      </c>
      <c r="B4" s="93">
        <v>11000</v>
      </c>
      <c r="C4" s="93">
        <v>11000</v>
      </c>
      <c r="D4" s="93">
        <v>11000</v>
      </c>
      <c r="E4" s="93">
        <v>11000</v>
      </c>
      <c r="F4" s="93"/>
      <c r="G4" s="181"/>
      <c r="H4" s="93"/>
      <c r="I4" s="181"/>
      <c r="J4" s="93"/>
      <c r="K4" s="93"/>
      <c r="L4" s="237"/>
      <c r="M4" s="237"/>
      <c r="N4" s="267">
        <f t="shared" ref="N4:N24" si="0">SUM(B4:M4)</f>
        <v>44000</v>
      </c>
    </row>
    <row r="5" spans="1:14">
      <c r="A5" s="3" t="s">
        <v>108</v>
      </c>
      <c r="B5" s="93"/>
      <c r="C5" s="93"/>
      <c r="D5" s="93">
        <v>907.6</v>
      </c>
      <c r="E5" s="181"/>
      <c r="F5" s="93"/>
      <c r="G5" s="181"/>
      <c r="H5" s="93"/>
      <c r="I5" s="181"/>
      <c r="J5" s="93"/>
      <c r="K5" s="93"/>
      <c r="L5" s="237"/>
      <c r="M5" s="237"/>
      <c r="N5" s="267">
        <f t="shared" si="0"/>
        <v>907.6</v>
      </c>
    </row>
    <row r="6" spans="1:14">
      <c r="A6" s="11" t="s">
        <v>33</v>
      </c>
      <c r="B6" s="99"/>
      <c r="C6" s="99">
        <v>1979.2</v>
      </c>
      <c r="D6" s="99">
        <v>1987</v>
      </c>
      <c r="E6" s="100"/>
      <c r="F6" s="99"/>
      <c r="G6" s="100"/>
      <c r="H6" s="99"/>
      <c r="I6" s="100"/>
      <c r="J6" s="99"/>
      <c r="K6" s="99"/>
      <c r="L6" s="236"/>
      <c r="M6" s="236"/>
      <c r="N6" s="267">
        <f t="shared" si="0"/>
        <v>3966.2</v>
      </c>
    </row>
    <row r="7" spans="1:14">
      <c r="A7" s="273" t="s">
        <v>105</v>
      </c>
      <c r="B7" s="93">
        <v>8000</v>
      </c>
      <c r="C7" s="93">
        <v>8000</v>
      </c>
      <c r="D7" s="93">
        <f>6000+2000</f>
        <v>8000</v>
      </c>
      <c r="E7" s="99">
        <v>8000</v>
      </c>
      <c r="F7" s="99"/>
      <c r="G7" s="100"/>
      <c r="H7" s="99"/>
      <c r="I7" s="100"/>
      <c r="J7" s="99"/>
      <c r="K7" s="99"/>
      <c r="L7" s="236"/>
      <c r="M7" s="236"/>
      <c r="N7" s="267">
        <f t="shared" si="0"/>
        <v>32000</v>
      </c>
    </row>
    <row r="8" spans="1:14">
      <c r="A8" s="275" t="s">
        <v>13</v>
      </c>
      <c r="B8" s="276">
        <v>16029.48</v>
      </c>
      <c r="C8" s="237">
        <v>5155.16</v>
      </c>
      <c r="D8" s="237">
        <v>4873.66</v>
      </c>
      <c r="E8" s="237">
        <v>5166.34</v>
      </c>
      <c r="F8" s="237"/>
      <c r="G8" s="181"/>
      <c r="H8" s="93"/>
      <c r="I8" s="93"/>
      <c r="J8" s="93"/>
      <c r="K8" s="93"/>
      <c r="L8" s="93"/>
      <c r="M8" s="237"/>
      <c r="N8" s="267">
        <f t="shared" si="0"/>
        <v>31224.639999999999</v>
      </c>
    </row>
    <row r="9" spans="1:14">
      <c r="A9" s="272" t="s">
        <v>131</v>
      </c>
      <c r="B9" s="99">
        <v>800</v>
      </c>
      <c r="C9" s="99"/>
      <c r="D9" s="99">
        <v>600</v>
      </c>
      <c r="E9" s="100">
        <v>600</v>
      </c>
      <c r="F9" s="99"/>
      <c r="G9" s="100"/>
      <c r="H9" s="99"/>
      <c r="I9" s="100"/>
      <c r="J9" s="99"/>
      <c r="K9" s="99"/>
      <c r="L9" s="236"/>
      <c r="M9" s="236"/>
      <c r="N9" s="267">
        <f t="shared" si="0"/>
        <v>2000</v>
      </c>
    </row>
    <row r="10" spans="1:14">
      <c r="A10" s="3" t="s">
        <v>132</v>
      </c>
      <c r="B10" s="93">
        <v>3176.73</v>
      </c>
      <c r="C10" s="93">
        <v>1067.94</v>
      </c>
      <c r="D10" s="93">
        <v>3468.29</v>
      </c>
      <c r="E10" s="181"/>
      <c r="F10" s="93"/>
      <c r="G10" s="181"/>
      <c r="H10" s="93"/>
      <c r="I10" s="181"/>
      <c r="J10" s="93"/>
      <c r="K10" s="93"/>
      <c r="L10" s="237"/>
      <c r="M10" s="237"/>
      <c r="N10" s="267">
        <f t="shared" si="0"/>
        <v>7712.96</v>
      </c>
    </row>
    <row r="11" spans="1:14">
      <c r="A11" s="3" t="s">
        <v>138</v>
      </c>
      <c r="B11" s="99">
        <v>395</v>
      </c>
      <c r="C11" s="99"/>
      <c r="D11" s="99"/>
      <c r="E11" s="100"/>
      <c r="F11" s="99"/>
      <c r="G11" s="100"/>
      <c r="H11" s="99"/>
      <c r="I11" s="100"/>
      <c r="J11" s="99"/>
      <c r="K11" s="99"/>
      <c r="L11" s="236"/>
      <c r="M11" s="236"/>
      <c r="N11" s="267">
        <f t="shared" si="0"/>
        <v>395</v>
      </c>
    </row>
    <row r="12" spans="1:14">
      <c r="A12" s="3" t="s">
        <v>139</v>
      </c>
      <c r="B12" s="99">
        <v>800</v>
      </c>
      <c r="C12" s="99"/>
      <c r="D12" s="99"/>
      <c r="E12" s="100"/>
      <c r="F12" s="99"/>
      <c r="G12" s="100"/>
      <c r="H12" s="99"/>
      <c r="I12" s="100"/>
      <c r="J12" s="99"/>
      <c r="K12" s="99"/>
      <c r="L12" s="236"/>
      <c r="M12" s="236"/>
      <c r="N12" s="267">
        <f t="shared" si="0"/>
        <v>800</v>
      </c>
    </row>
    <row r="13" spans="1:14">
      <c r="A13" s="3" t="s">
        <v>140</v>
      </c>
      <c r="B13" s="99">
        <v>4400</v>
      </c>
      <c r="C13" s="99">
        <v>4800</v>
      </c>
      <c r="D13" s="99"/>
      <c r="E13" s="100"/>
      <c r="F13" s="99"/>
      <c r="G13" s="100"/>
      <c r="H13" s="99"/>
      <c r="I13" s="100"/>
      <c r="J13" s="99"/>
      <c r="K13" s="99"/>
      <c r="L13" s="236"/>
      <c r="M13" s="236"/>
      <c r="N13" s="267">
        <f t="shared" si="0"/>
        <v>9200</v>
      </c>
    </row>
    <row r="14" spans="1:14">
      <c r="A14" s="3" t="s">
        <v>141</v>
      </c>
      <c r="B14" s="99">
        <v>181.5</v>
      </c>
      <c r="C14" s="99">
        <v>70</v>
      </c>
      <c r="D14" s="99">
        <v>125</v>
      </c>
      <c r="E14" s="100">
        <f>203+186+237</f>
        <v>626</v>
      </c>
      <c r="F14" s="99"/>
      <c r="G14" s="100"/>
      <c r="H14" s="99"/>
      <c r="I14" s="100"/>
      <c r="J14" s="99"/>
      <c r="K14" s="99"/>
      <c r="L14" s="236"/>
      <c r="M14" s="236"/>
      <c r="N14" s="267">
        <f t="shared" si="0"/>
        <v>1002.5</v>
      </c>
    </row>
    <row r="15" spans="1:14">
      <c r="A15" s="3" t="s">
        <v>142</v>
      </c>
      <c r="B15" s="99">
        <v>3042</v>
      </c>
      <c r="C15" s="99"/>
      <c r="D15" s="99"/>
      <c r="E15" s="100"/>
      <c r="F15" s="99"/>
      <c r="G15" s="100"/>
      <c r="H15" s="99"/>
      <c r="I15" s="100"/>
      <c r="J15" s="99"/>
      <c r="K15" s="99"/>
      <c r="L15" s="236"/>
      <c r="M15" s="236"/>
      <c r="N15" s="267">
        <f t="shared" si="0"/>
        <v>3042</v>
      </c>
    </row>
    <row r="16" spans="1:14">
      <c r="A16" s="215" t="s">
        <v>154</v>
      </c>
      <c r="B16" s="99">
        <v>2559</v>
      </c>
      <c r="C16" s="99"/>
      <c r="D16" s="99"/>
      <c r="E16" s="277"/>
      <c r="F16" s="99"/>
      <c r="G16" s="100"/>
      <c r="H16" s="99"/>
      <c r="I16" s="100"/>
      <c r="J16" s="99"/>
      <c r="K16" s="99"/>
      <c r="L16" s="236"/>
      <c r="M16" s="236"/>
      <c r="N16" s="267">
        <f t="shared" si="0"/>
        <v>2559</v>
      </c>
    </row>
    <row r="17" spans="1:14">
      <c r="A17" s="214" t="s">
        <v>155</v>
      </c>
      <c r="B17" s="195">
        <v>804.5</v>
      </c>
      <c r="C17" s="195"/>
      <c r="D17" s="195"/>
      <c r="E17" s="198"/>
      <c r="F17" s="195"/>
      <c r="G17" s="198"/>
      <c r="H17" s="195"/>
      <c r="I17" s="198"/>
      <c r="J17" s="195"/>
      <c r="K17" s="195"/>
      <c r="L17" s="238"/>
      <c r="M17" s="238"/>
      <c r="N17" s="267">
        <f t="shared" si="0"/>
        <v>804.5</v>
      </c>
    </row>
    <row r="18" spans="1:14">
      <c r="A18" s="3" t="s">
        <v>156</v>
      </c>
      <c r="B18" s="99">
        <v>5590</v>
      </c>
      <c r="C18" s="99"/>
      <c r="D18" s="99"/>
      <c r="E18" s="100"/>
      <c r="F18" s="93"/>
      <c r="G18" s="100"/>
      <c r="H18" s="99"/>
      <c r="I18" s="100"/>
      <c r="J18" s="99"/>
      <c r="K18" s="99"/>
      <c r="L18" s="236"/>
      <c r="M18" s="236"/>
      <c r="N18" s="267">
        <f t="shared" si="0"/>
        <v>5590</v>
      </c>
    </row>
    <row r="19" spans="1:14">
      <c r="A19" s="3" t="s">
        <v>160</v>
      </c>
      <c r="B19" s="93"/>
      <c r="C19" s="93">
        <v>3000</v>
      </c>
      <c r="D19" s="93"/>
      <c r="E19" s="181"/>
      <c r="F19" s="93"/>
      <c r="G19" s="181"/>
      <c r="H19" s="93"/>
      <c r="I19" s="181"/>
      <c r="J19" s="93"/>
      <c r="K19" s="93"/>
      <c r="L19" s="237"/>
      <c r="M19" s="237"/>
      <c r="N19" s="267">
        <f t="shared" si="0"/>
        <v>3000</v>
      </c>
    </row>
    <row r="20" spans="1:14">
      <c r="A20" s="11" t="s">
        <v>163</v>
      </c>
      <c r="B20" s="99"/>
      <c r="C20" s="99">
        <v>11080</v>
      </c>
      <c r="D20" s="99"/>
      <c r="E20" s="100"/>
      <c r="F20" s="99"/>
      <c r="G20" s="100"/>
      <c r="H20" s="99"/>
      <c r="I20" s="100"/>
      <c r="J20" s="99"/>
      <c r="K20" s="99"/>
      <c r="L20" s="236"/>
      <c r="M20" s="236"/>
      <c r="N20" s="267">
        <f t="shared" si="0"/>
        <v>11080</v>
      </c>
    </row>
    <row r="21" spans="1:14">
      <c r="A21" s="11" t="s">
        <v>169</v>
      </c>
      <c r="B21" s="99"/>
      <c r="C21" s="99">
        <v>920</v>
      </c>
      <c r="D21" s="99"/>
      <c r="E21" s="100"/>
      <c r="F21" s="99"/>
      <c r="G21" s="100"/>
      <c r="H21" s="99"/>
      <c r="I21" s="100"/>
      <c r="J21" s="99"/>
      <c r="K21" s="99"/>
      <c r="L21" s="236"/>
      <c r="M21" s="236"/>
      <c r="N21" s="267">
        <f t="shared" si="0"/>
        <v>920</v>
      </c>
    </row>
    <row r="22" spans="1:14">
      <c r="A22" s="272" t="s">
        <v>170</v>
      </c>
      <c r="B22" s="99"/>
      <c r="C22" s="99">
        <v>348</v>
      </c>
      <c r="D22" s="99"/>
      <c r="E22" s="100"/>
      <c r="F22" s="89"/>
      <c r="G22" s="100"/>
      <c r="H22" s="99"/>
      <c r="I22" s="100"/>
      <c r="J22" s="99"/>
      <c r="K22" s="99"/>
      <c r="L22" s="236"/>
      <c r="M22" s="236"/>
      <c r="N22" s="267">
        <f t="shared" si="0"/>
        <v>348</v>
      </c>
    </row>
    <row r="23" spans="1:14">
      <c r="A23" s="3" t="s">
        <v>171</v>
      </c>
      <c r="B23" s="93"/>
      <c r="C23" s="93">
        <v>2200</v>
      </c>
      <c r="D23" s="93"/>
      <c r="E23" s="264"/>
      <c r="F23" s="93"/>
      <c r="G23" s="93"/>
      <c r="H23" s="93"/>
      <c r="I23" s="93"/>
      <c r="J23" s="93"/>
      <c r="K23" s="93"/>
      <c r="L23" s="237"/>
      <c r="M23" s="237"/>
      <c r="N23" s="267">
        <f t="shared" si="0"/>
        <v>2200</v>
      </c>
    </row>
    <row r="24" spans="1:14">
      <c r="A24" s="3" t="s">
        <v>172</v>
      </c>
      <c r="B24" s="93"/>
      <c r="C24" s="93">
        <v>250</v>
      </c>
      <c r="D24" s="93"/>
      <c r="E24" s="100"/>
      <c r="F24" s="99"/>
      <c r="G24" s="100"/>
      <c r="H24" s="99"/>
      <c r="I24" s="100"/>
      <c r="J24" s="99"/>
      <c r="K24" s="99"/>
      <c r="L24" s="236"/>
      <c r="M24" s="236"/>
      <c r="N24" s="267">
        <f t="shared" si="0"/>
        <v>250</v>
      </c>
    </row>
    <row r="25" spans="1:14">
      <c r="A25" s="53" t="s">
        <v>195</v>
      </c>
      <c r="B25" s="282"/>
      <c r="C25" s="282"/>
      <c r="D25" s="93">
        <v>980</v>
      </c>
      <c r="E25" s="100"/>
      <c r="F25" s="99"/>
      <c r="G25" s="100"/>
      <c r="H25" s="99"/>
      <c r="I25" s="100"/>
      <c r="J25" s="99"/>
      <c r="K25" s="99"/>
      <c r="L25" s="236"/>
      <c r="M25" s="236"/>
      <c r="N25" s="267">
        <f>SUM(D25:M25)</f>
        <v>980</v>
      </c>
    </row>
    <row r="26" spans="1:14">
      <c r="A26" s="53" t="s">
        <v>203</v>
      </c>
      <c r="B26" s="282"/>
      <c r="C26" s="282"/>
      <c r="D26" s="93">
        <v>3500</v>
      </c>
      <c r="E26" s="99"/>
      <c r="F26" s="99"/>
      <c r="G26" s="100"/>
      <c r="H26" s="99"/>
      <c r="I26" s="100"/>
      <c r="J26" s="99"/>
      <c r="K26" s="99"/>
      <c r="L26" s="236"/>
      <c r="M26" s="236"/>
      <c r="N26" s="267">
        <f>SUM(D26:M26)</f>
        <v>3500</v>
      </c>
    </row>
    <row r="27" spans="1:14">
      <c r="A27" s="53" t="s">
        <v>217</v>
      </c>
      <c r="B27" s="282"/>
      <c r="C27" s="282"/>
      <c r="D27" s="93"/>
      <c r="E27" s="99">
        <v>10800</v>
      </c>
      <c r="F27" s="99"/>
      <c r="G27" s="100"/>
      <c r="H27" s="99"/>
      <c r="I27" s="100"/>
      <c r="J27" s="99"/>
      <c r="K27" s="99"/>
      <c r="L27" s="236"/>
      <c r="M27" s="236"/>
      <c r="N27" s="267">
        <f>SUM(D27:M27)</f>
        <v>10800</v>
      </c>
    </row>
    <row r="28" spans="1:14">
      <c r="A28" s="4" t="s">
        <v>220</v>
      </c>
      <c r="B28" s="93"/>
      <c r="C28" s="93"/>
      <c r="D28" s="93"/>
      <c r="E28" s="93">
        <v>630</v>
      </c>
      <c r="F28" s="93"/>
      <c r="G28" s="181"/>
      <c r="H28" s="93"/>
      <c r="I28" s="93"/>
      <c r="J28" s="93"/>
      <c r="K28" s="93"/>
      <c r="L28" s="237"/>
      <c r="M28" s="237"/>
      <c r="N28" s="267">
        <f t="shared" ref="N28:N38" si="1">SUM(B28:M28)</f>
        <v>630</v>
      </c>
    </row>
    <row r="29" spans="1:14">
      <c r="A29" s="2" t="s">
        <v>234</v>
      </c>
      <c r="B29" s="88"/>
      <c r="C29" s="88"/>
      <c r="D29" s="88"/>
      <c r="E29" s="180">
        <v>1200</v>
      </c>
      <c r="F29" s="93"/>
      <c r="G29" s="181"/>
      <c r="H29" s="93"/>
      <c r="I29" s="93"/>
      <c r="J29" s="93"/>
      <c r="K29" s="93"/>
      <c r="L29" s="237"/>
      <c r="M29" s="237"/>
      <c r="N29" s="267">
        <f t="shared" si="1"/>
        <v>1200</v>
      </c>
    </row>
    <row r="30" spans="1:14">
      <c r="A30" s="204" t="s">
        <v>181</v>
      </c>
      <c r="B30" s="88"/>
      <c r="C30" s="88"/>
      <c r="D30" s="88"/>
      <c r="E30" s="180">
        <v>322</v>
      </c>
      <c r="F30" s="93"/>
      <c r="G30" s="181"/>
      <c r="H30" s="93"/>
      <c r="I30" s="93"/>
      <c r="J30" s="93"/>
      <c r="K30" s="93"/>
      <c r="L30" s="237"/>
      <c r="M30" s="237"/>
      <c r="N30" s="267">
        <f t="shared" si="1"/>
        <v>322</v>
      </c>
    </row>
    <row r="31" spans="1:14">
      <c r="A31" s="3" t="s">
        <v>235</v>
      </c>
      <c r="B31" s="190"/>
      <c r="C31" s="190"/>
      <c r="D31" s="190"/>
      <c r="E31" s="191">
        <v>2011.2</v>
      </c>
      <c r="F31" s="93"/>
      <c r="G31" s="181"/>
      <c r="H31" s="93"/>
      <c r="I31" s="93"/>
      <c r="J31" s="93"/>
      <c r="K31" s="93"/>
      <c r="L31" s="237"/>
      <c r="M31" s="237"/>
      <c r="N31" s="267">
        <f t="shared" si="1"/>
        <v>2011.2</v>
      </c>
    </row>
    <row r="32" spans="1:14">
      <c r="A32" s="11" t="s">
        <v>236</v>
      </c>
      <c r="B32" s="190"/>
      <c r="C32" s="190"/>
      <c r="D32" s="190"/>
      <c r="E32" s="191">
        <v>2439</v>
      </c>
      <c r="F32" s="93"/>
      <c r="G32" s="181"/>
      <c r="H32" s="93"/>
      <c r="I32" s="93"/>
      <c r="J32" s="93"/>
      <c r="K32" s="93"/>
      <c r="L32" s="237"/>
      <c r="M32" s="237"/>
      <c r="N32" s="267">
        <f t="shared" si="1"/>
        <v>2439</v>
      </c>
    </row>
    <row r="33" spans="1:14">
      <c r="A33" s="11" t="s">
        <v>237</v>
      </c>
      <c r="B33" s="190"/>
      <c r="C33" s="190"/>
      <c r="D33" s="190"/>
      <c r="E33" s="191">
        <v>1440</v>
      </c>
      <c r="F33" s="93"/>
      <c r="G33" s="181"/>
      <c r="H33" s="93"/>
      <c r="I33" s="93"/>
      <c r="J33" s="93"/>
      <c r="K33" s="93"/>
      <c r="L33" s="237"/>
      <c r="M33" s="237"/>
      <c r="N33" s="267">
        <f t="shared" si="1"/>
        <v>1440</v>
      </c>
    </row>
    <row r="34" spans="1:14">
      <c r="A34" s="2" t="s">
        <v>238</v>
      </c>
      <c r="B34" s="190"/>
      <c r="C34" s="190"/>
      <c r="D34" s="190"/>
      <c r="E34" s="190">
        <v>260</v>
      </c>
      <c r="F34" s="93"/>
      <c r="G34" s="181"/>
      <c r="H34" s="93"/>
      <c r="I34" s="93"/>
      <c r="J34" s="93"/>
      <c r="K34" s="93"/>
      <c r="L34" s="237"/>
      <c r="M34" s="237"/>
      <c r="N34" s="267">
        <f t="shared" si="1"/>
        <v>260</v>
      </c>
    </row>
    <row r="35" spans="1:14">
      <c r="A35" s="2" t="s">
        <v>239</v>
      </c>
      <c r="B35" s="190"/>
      <c r="C35" s="190"/>
      <c r="D35" s="190"/>
      <c r="E35" s="190">
        <v>780</v>
      </c>
      <c r="F35" s="93"/>
      <c r="G35" s="181"/>
      <c r="H35" s="93"/>
      <c r="I35" s="93"/>
      <c r="J35" s="93"/>
      <c r="K35" s="93"/>
      <c r="L35" s="237"/>
      <c r="M35" s="93"/>
      <c r="N35" s="267">
        <f t="shared" si="1"/>
        <v>780</v>
      </c>
    </row>
    <row r="36" spans="1:14">
      <c r="A36" s="215"/>
      <c r="B36" s="93"/>
      <c r="C36" s="93"/>
      <c r="D36" s="93"/>
      <c r="E36" s="264"/>
      <c r="F36" s="93"/>
      <c r="G36" s="181"/>
      <c r="H36" s="93"/>
      <c r="I36" s="93"/>
      <c r="J36" s="93"/>
      <c r="K36" s="93"/>
      <c r="L36" s="237"/>
      <c r="M36" s="93"/>
      <c r="N36" s="267">
        <f t="shared" si="1"/>
        <v>0</v>
      </c>
    </row>
    <row r="37" spans="1:14">
      <c r="A37" s="3"/>
      <c r="B37" s="93"/>
      <c r="C37" s="93"/>
      <c r="D37" s="93"/>
      <c r="E37" s="264"/>
      <c r="F37" s="93"/>
      <c r="G37" s="181"/>
      <c r="H37" s="93"/>
      <c r="I37" s="93"/>
      <c r="J37" s="93"/>
      <c r="K37" s="93"/>
      <c r="L37" s="237"/>
      <c r="M37" s="237"/>
      <c r="N37" s="267">
        <f t="shared" si="1"/>
        <v>0</v>
      </c>
    </row>
    <row r="38" spans="1:14">
      <c r="A38" s="3"/>
      <c r="B38" s="93"/>
      <c r="C38" s="93"/>
      <c r="D38" s="93"/>
      <c r="E38" s="264"/>
      <c r="F38" s="93"/>
      <c r="G38" s="181"/>
      <c r="H38" s="93"/>
      <c r="I38" s="93"/>
      <c r="J38" s="93"/>
      <c r="K38" s="93"/>
      <c r="L38" s="237"/>
      <c r="M38" s="237"/>
      <c r="N38" s="267">
        <f t="shared" si="1"/>
        <v>0</v>
      </c>
    </row>
    <row r="39" spans="1:14">
      <c r="A39" s="215"/>
      <c r="B39" s="93"/>
      <c r="C39" s="93"/>
      <c r="D39" s="93"/>
      <c r="E39" s="93"/>
      <c r="F39" s="93"/>
      <c r="G39" s="181"/>
      <c r="H39" s="93"/>
      <c r="I39" s="93"/>
      <c r="J39" s="93"/>
      <c r="K39" s="93"/>
      <c r="L39" s="237"/>
      <c r="M39" s="237"/>
      <c r="N39" s="267">
        <f t="shared" ref="N39:N72" si="2">SUM(B39:M39)</f>
        <v>0</v>
      </c>
    </row>
    <row r="40" spans="1:14">
      <c r="A40" s="215"/>
      <c r="B40" s="93"/>
      <c r="C40" s="93"/>
      <c r="D40" s="93"/>
      <c r="E40" s="99"/>
      <c r="F40" s="99"/>
      <c r="G40" s="100"/>
      <c r="H40" s="99"/>
      <c r="I40" s="100"/>
      <c r="J40" s="99"/>
      <c r="K40" s="99"/>
      <c r="L40" s="236"/>
      <c r="M40" s="236"/>
      <c r="N40" s="267">
        <f t="shared" si="2"/>
        <v>0</v>
      </c>
    </row>
    <row r="41" spans="1:14">
      <c r="A41" s="215"/>
      <c r="B41" s="93"/>
      <c r="C41" s="93"/>
      <c r="D41" s="93"/>
      <c r="E41" s="93"/>
      <c r="F41" s="93"/>
      <c r="G41" s="181"/>
      <c r="H41" s="93"/>
      <c r="I41" s="93"/>
      <c r="J41" s="93"/>
      <c r="K41" s="93"/>
      <c r="L41" s="237"/>
      <c r="M41" s="237"/>
      <c r="N41" s="267">
        <f t="shared" si="2"/>
        <v>0</v>
      </c>
    </row>
    <row r="42" spans="1:14">
      <c r="A42" s="3"/>
      <c r="B42" s="93"/>
      <c r="C42" s="93"/>
      <c r="D42" s="93"/>
      <c r="E42" s="264"/>
      <c r="F42" s="93"/>
      <c r="G42" s="181"/>
      <c r="H42" s="93"/>
      <c r="I42" s="93"/>
      <c r="J42" s="93"/>
      <c r="K42" s="93"/>
      <c r="L42" s="237"/>
      <c r="M42" s="237"/>
      <c r="N42" s="267">
        <f t="shared" si="2"/>
        <v>0</v>
      </c>
    </row>
    <row r="43" spans="1:14">
      <c r="A43" s="3"/>
      <c r="B43" s="93"/>
      <c r="C43" s="93"/>
      <c r="D43" s="93"/>
      <c r="E43" s="93"/>
      <c r="F43" s="93"/>
      <c r="G43" s="181"/>
      <c r="H43" s="93"/>
      <c r="I43" s="93"/>
      <c r="J43" s="93"/>
      <c r="K43" s="93"/>
      <c r="L43" s="237"/>
      <c r="M43" s="237"/>
      <c r="N43" s="267">
        <f t="shared" si="2"/>
        <v>0</v>
      </c>
    </row>
    <row r="44" spans="1:14">
      <c r="A44" s="207"/>
      <c r="B44" s="93"/>
      <c r="C44" s="93"/>
      <c r="D44" s="93"/>
      <c r="E44" s="93"/>
      <c r="F44" s="93"/>
      <c r="G44" s="181"/>
      <c r="H44" s="93"/>
      <c r="I44" s="93"/>
      <c r="J44" s="93"/>
      <c r="K44" s="93"/>
      <c r="L44" s="237"/>
      <c r="M44" s="237"/>
      <c r="N44" s="267">
        <f t="shared" si="2"/>
        <v>0</v>
      </c>
    </row>
    <row r="45" spans="1:14">
      <c r="A45" s="207"/>
      <c r="B45" s="93"/>
      <c r="C45" s="93"/>
      <c r="D45" s="93"/>
      <c r="E45" s="93"/>
      <c r="F45" s="93"/>
      <c r="G45" s="181"/>
      <c r="H45" s="93"/>
      <c r="I45" s="93"/>
      <c r="J45" s="93"/>
      <c r="K45" s="93"/>
      <c r="L45" s="237"/>
      <c r="M45" s="237"/>
      <c r="N45" s="267">
        <f t="shared" si="2"/>
        <v>0</v>
      </c>
    </row>
    <row r="46" spans="1:14">
      <c r="A46" s="3"/>
      <c r="B46" s="93"/>
      <c r="C46" s="93"/>
      <c r="D46" s="93"/>
      <c r="E46" s="93"/>
      <c r="F46" s="93"/>
      <c r="G46" s="181"/>
      <c r="H46" s="93"/>
      <c r="I46" s="93"/>
      <c r="J46" s="93"/>
      <c r="K46" s="93"/>
      <c r="L46" s="237"/>
      <c r="M46" s="237"/>
      <c r="N46" s="267">
        <f t="shared" si="2"/>
        <v>0</v>
      </c>
    </row>
    <row r="47" spans="1:14">
      <c r="A47" s="3"/>
      <c r="B47" s="93"/>
      <c r="C47" s="93"/>
      <c r="D47" s="93"/>
      <c r="E47" s="93"/>
      <c r="F47" s="93"/>
      <c r="G47" s="181"/>
      <c r="H47" s="93"/>
      <c r="I47" s="93"/>
      <c r="J47" s="93"/>
      <c r="K47" s="93"/>
      <c r="L47" s="237"/>
      <c r="M47" s="237"/>
      <c r="N47" s="267">
        <f t="shared" si="2"/>
        <v>0</v>
      </c>
    </row>
    <row r="48" spans="1:14">
      <c r="A48" s="3"/>
      <c r="B48" s="93"/>
      <c r="C48" s="93"/>
      <c r="D48" s="93"/>
      <c r="E48" s="264"/>
      <c r="F48" s="93"/>
      <c r="G48" s="181"/>
      <c r="H48" s="93"/>
      <c r="I48" s="93"/>
      <c r="J48" s="93"/>
      <c r="K48" s="93"/>
      <c r="L48" s="237"/>
      <c r="M48" s="237"/>
      <c r="N48" s="267">
        <f t="shared" si="2"/>
        <v>0</v>
      </c>
    </row>
    <row r="49" spans="1:14">
      <c r="A49" s="3"/>
      <c r="B49" s="93"/>
      <c r="C49" s="93"/>
      <c r="D49" s="93"/>
      <c r="E49" s="264"/>
      <c r="F49" s="93"/>
      <c r="G49" s="181"/>
      <c r="H49" s="93"/>
      <c r="I49" s="93"/>
      <c r="J49" s="93"/>
      <c r="K49" s="93"/>
      <c r="L49" s="237"/>
      <c r="M49" s="93"/>
      <c r="N49" s="267">
        <f t="shared" si="2"/>
        <v>0</v>
      </c>
    </row>
    <row r="50" spans="1:14">
      <c r="A50" s="215"/>
      <c r="B50" s="93"/>
      <c r="C50" s="93"/>
      <c r="D50" s="93"/>
      <c r="E50" s="93"/>
      <c r="F50" s="93"/>
      <c r="G50" s="181"/>
      <c r="H50" s="93"/>
      <c r="I50" s="93"/>
      <c r="J50" s="93"/>
      <c r="K50" s="93"/>
      <c r="L50" s="237"/>
      <c r="M50" s="93"/>
      <c r="N50" s="267">
        <f t="shared" si="2"/>
        <v>0</v>
      </c>
    </row>
    <row r="51" spans="1:14">
      <c r="A51" s="3"/>
      <c r="B51" s="93"/>
      <c r="C51" s="93"/>
      <c r="D51" s="93"/>
      <c r="E51" s="264"/>
      <c r="F51" s="93"/>
      <c r="G51" s="181"/>
      <c r="H51" s="93"/>
      <c r="I51" s="93"/>
      <c r="J51" s="93"/>
      <c r="K51" s="93"/>
      <c r="L51" s="237"/>
      <c r="M51" s="237"/>
      <c r="N51" s="267">
        <f t="shared" si="2"/>
        <v>0</v>
      </c>
    </row>
    <row r="52" spans="1:14">
      <c r="A52" s="3"/>
      <c r="B52" s="93"/>
      <c r="C52" s="93"/>
      <c r="D52" s="93"/>
      <c r="E52" s="264"/>
      <c r="F52" s="93"/>
      <c r="G52" s="181"/>
      <c r="H52" s="93"/>
      <c r="I52" s="93"/>
      <c r="J52" s="93"/>
      <c r="K52" s="93"/>
      <c r="L52" s="237"/>
      <c r="M52" s="93"/>
      <c r="N52" s="267">
        <f t="shared" si="2"/>
        <v>0</v>
      </c>
    </row>
    <row r="53" spans="1:14">
      <c r="A53" s="215"/>
      <c r="B53" s="93"/>
      <c r="C53" s="93"/>
      <c r="D53" s="93"/>
      <c r="E53" s="93"/>
      <c r="F53" s="93"/>
      <c r="G53" s="181"/>
      <c r="H53" s="93"/>
      <c r="I53" s="93"/>
      <c r="J53" s="93"/>
      <c r="K53" s="93"/>
      <c r="L53" s="237"/>
      <c r="M53" s="237"/>
      <c r="N53" s="267">
        <f t="shared" si="2"/>
        <v>0</v>
      </c>
    </row>
    <row r="54" spans="1:14">
      <c r="A54" s="215"/>
      <c r="B54" s="93"/>
      <c r="C54" s="93"/>
      <c r="D54" s="93"/>
      <c r="E54" s="93"/>
      <c r="F54" s="93"/>
      <c r="G54" s="181"/>
      <c r="H54" s="93"/>
      <c r="I54" s="93"/>
      <c r="J54" s="93"/>
      <c r="K54" s="93"/>
      <c r="L54" s="237"/>
      <c r="M54" s="237"/>
      <c r="N54" s="267">
        <f t="shared" si="2"/>
        <v>0</v>
      </c>
    </row>
    <row r="55" spans="1:14">
      <c r="A55" s="215"/>
      <c r="B55" s="93"/>
      <c r="C55" s="93"/>
      <c r="D55" s="93"/>
      <c r="E55" s="93"/>
      <c r="F55" s="93"/>
      <c r="G55" s="181"/>
      <c r="H55" s="93"/>
      <c r="I55" s="93"/>
      <c r="J55" s="93"/>
      <c r="K55" s="93"/>
      <c r="L55" s="237"/>
      <c r="M55" s="237"/>
      <c r="N55" s="267">
        <f t="shared" si="2"/>
        <v>0</v>
      </c>
    </row>
    <row r="56" spans="1:14">
      <c r="A56" s="215"/>
      <c r="B56" s="93"/>
      <c r="C56" s="93"/>
      <c r="D56" s="93"/>
      <c r="E56" s="93"/>
      <c r="F56" s="93"/>
      <c r="G56" s="181"/>
      <c r="H56" s="93"/>
      <c r="I56" s="93"/>
      <c r="J56" s="93"/>
      <c r="K56" s="93"/>
      <c r="L56" s="237"/>
      <c r="M56" s="237"/>
      <c r="N56" s="267">
        <f t="shared" si="2"/>
        <v>0</v>
      </c>
    </row>
    <row r="57" spans="1:14">
      <c r="A57" s="215"/>
      <c r="B57" s="93"/>
      <c r="C57" s="93"/>
      <c r="D57" s="93"/>
      <c r="E57" s="93"/>
      <c r="F57" s="93"/>
      <c r="G57" s="181"/>
      <c r="H57" s="93"/>
      <c r="I57" s="93"/>
      <c r="J57" s="93"/>
      <c r="K57" s="93"/>
      <c r="L57" s="237"/>
      <c r="M57" s="237"/>
      <c r="N57" s="267">
        <f t="shared" si="2"/>
        <v>0</v>
      </c>
    </row>
    <row r="58" spans="1:14">
      <c r="A58" s="215"/>
      <c r="B58" s="93"/>
      <c r="C58" s="93"/>
      <c r="D58" s="93"/>
      <c r="E58" s="93"/>
      <c r="F58" s="93"/>
      <c r="G58" s="181"/>
      <c r="H58" s="93"/>
      <c r="I58" s="93"/>
      <c r="J58" s="93"/>
      <c r="K58" s="93"/>
      <c r="L58" s="237"/>
      <c r="M58" s="93"/>
      <c r="N58" s="267">
        <f t="shared" si="2"/>
        <v>0</v>
      </c>
    </row>
    <row r="59" spans="1:14">
      <c r="A59" s="215"/>
      <c r="B59" s="93"/>
      <c r="C59" s="93"/>
      <c r="D59" s="93"/>
      <c r="E59" s="93"/>
      <c r="F59" s="93"/>
      <c r="G59" s="181"/>
      <c r="H59" s="93"/>
      <c r="I59" s="93"/>
      <c r="J59" s="93"/>
      <c r="K59" s="93"/>
      <c r="L59" s="237"/>
      <c r="M59" s="93"/>
      <c r="N59" s="267">
        <f t="shared" si="2"/>
        <v>0</v>
      </c>
    </row>
    <row r="60" spans="1:14">
      <c r="A60" s="215"/>
      <c r="B60" s="93"/>
      <c r="C60" s="93"/>
      <c r="D60" s="93"/>
      <c r="E60" s="93"/>
      <c r="F60" s="93"/>
      <c r="G60" s="181"/>
      <c r="H60" s="93"/>
      <c r="I60" s="93"/>
      <c r="J60" s="93"/>
      <c r="K60" s="93"/>
      <c r="L60" s="237"/>
      <c r="M60" s="93"/>
      <c r="N60" s="267">
        <f t="shared" si="2"/>
        <v>0</v>
      </c>
    </row>
    <row r="61" spans="1:14">
      <c r="A61" s="4"/>
      <c r="B61" s="93"/>
      <c r="C61" s="93"/>
      <c r="D61" s="93"/>
      <c r="E61" s="93"/>
      <c r="F61" s="93"/>
      <c r="G61" s="181"/>
      <c r="H61" s="93"/>
      <c r="I61" s="93"/>
      <c r="J61" s="93"/>
      <c r="K61" s="93"/>
      <c r="L61" s="237"/>
      <c r="M61" s="237"/>
      <c r="N61" s="267">
        <f t="shared" si="2"/>
        <v>0</v>
      </c>
    </row>
    <row r="62" spans="1:14">
      <c r="A62" s="215"/>
      <c r="B62" s="93"/>
      <c r="C62" s="93"/>
      <c r="D62" s="93"/>
      <c r="E62" s="93"/>
      <c r="F62" s="93"/>
      <c r="G62" s="181"/>
      <c r="H62" s="93"/>
      <c r="I62" s="93"/>
      <c r="J62" s="93"/>
      <c r="K62" s="93"/>
      <c r="L62" s="237"/>
      <c r="M62" s="237"/>
      <c r="N62" s="267">
        <f t="shared" si="2"/>
        <v>0</v>
      </c>
    </row>
    <row r="63" spans="1:14">
      <c r="A63" s="215"/>
      <c r="B63" s="93"/>
      <c r="C63" s="93"/>
      <c r="D63" s="93"/>
      <c r="E63" s="93"/>
      <c r="F63" s="93"/>
      <c r="G63" s="181"/>
      <c r="H63" s="93"/>
      <c r="I63" s="93"/>
      <c r="J63" s="93"/>
      <c r="K63" s="93"/>
      <c r="L63" s="237"/>
      <c r="M63" s="237"/>
      <c r="N63" s="267">
        <f t="shared" si="2"/>
        <v>0</v>
      </c>
    </row>
    <row r="64" spans="1:14">
      <c r="A64" s="3"/>
      <c r="B64" s="93"/>
      <c r="C64" s="93"/>
      <c r="D64" s="93"/>
      <c r="E64" s="93"/>
      <c r="F64" s="93"/>
      <c r="G64" s="181"/>
      <c r="H64" s="93"/>
      <c r="I64" s="93"/>
      <c r="J64" s="93"/>
      <c r="K64" s="93"/>
      <c r="L64" s="237"/>
      <c r="M64" s="237"/>
      <c r="N64" s="267">
        <f t="shared" si="2"/>
        <v>0</v>
      </c>
    </row>
    <row r="65" spans="1:14">
      <c r="A65" s="4"/>
      <c r="B65" s="93"/>
      <c r="C65" s="93"/>
      <c r="D65" s="93"/>
      <c r="E65" s="93"/>
      <c r="F65" s="93"/>
      <c r="G65" s="181"/>
      <c r="H65" s="93"/>
      <c r="I65" s="93"/>
      <c r="J65" s="93"/>
      <c r="K65" s="93"/>
      <c r="L65" s="237"/>
      <c r="M65" s="237"/>
      <c r="N65" s="267">
        <f t="shared" si="2"/>
        <v>0</v>
      </c>
    </row>
    <row r="66" spans="1:14">
      <c r="A66" s="3"/>
      <c r="B66" s="93"/>
      <c r="C66" s="93"/>
      <c r="D66" s="93"/>
      <c r="E66" s="93"/>
      <c r="F66" s="93"/>
      <c r="G66" s="181"/>
      <c r="H66" s="93"/>
      <c r="I66" s="93"/>
      <c r="J66" s="93"/>
      <c r="K66" s="93"/>
      <c r="L66" s="237"/>
      <c r="M66" s="237"/>
      <c r="N66" s="267">
        <f t="shared" si="2"/>
        <v>0</v>
      </c>
    </row>
    <row r="67" spans="1:14">
      <c r="A67" s="215"/>
      <c r="B67" s="93"/>
      <c r="C67" s="93"/>
      <c r="D67" s="93"/>
      <c r="E67" s="279"/>
      <c r="F67" s="93"/>
      <c r="G67" s="181"/>
      <c r="H67" s="93"/>
      <c r="I67" s="93"/>
      <c r="J67" s="93"/>
      <c r="K67" s="93"/>
      <c r="L67" s="237"/>
      <c r="M67" s="237"/>
      <c r="N67" s="267">
        <f t="shared" si="2"/>
        <v>0</v>
      </c>
    </row>
    <row r="68" spans="1:14">
      <c r="A68" s="3"/>
      <c r="B68" s="93"/>
      <c r="C68" s="93"/>
      <c r="D68" s="93"/>
      <c r="E68" s="264"/>
      <c r="F68" s="93"/>
      <c r="G68" s="181"/>
      <c r="H68" s="93"/>
      <c r="I68" s="93"/>
      <c r="J68" s="93"/>
      <c r="K68" s="93"/>
      <c r="L68" s="237"/>
      <c r="M68" s="237"/>
      <c r="N68" s="267">
        <f t="shared" si="2"/>
        <v>0</v>
      </c>
    </row>
    <row r="69" spans="1:14">
      <c r="A69" s="3"/>
      <c r="B69" s="93"/>
      <c r="C69" s="93"/>
      <c r="D69" s="93"/>
      <c r="E69" s="93"/>
      <c r="F69" s="93"/>
      <c r="G69" s="181"/>
      <c r="H69" s="93"/>
      <c r="I69" s="93"/>
      <c r="J69" s="93"/>
      <c r="K69" s="93"/>
      <c r="L69" s="237"/>
      <c r="M69" s="237"/>
      <c r="N69" s="267">
        <f t="shared" si="2"/>
        <v>0</v>
      </c>
    </row>
    <row r="70" spans="1:14">
      <c r="A70" s="11"/>
      <c r="B70" s="99"/>
      <c r="C70" s="99"/>
      <c r="D70" s="99"/>
      <c r="E70" s="278"/>
      <c r="F70" s="99"/>
      <c r="G70" s="99"/>
      <c r="H70" s="99"/>
      <c r="I70" s="99"/>
      <c r="J70" s="99"/>
      <c r="K70" s="99"/>
      <c r="L70" s="236"/>
      <c r="M70" s="236"/>
      <c r="N70" s="267">
        <f>SUM(B70:M70)</f>
        <v>0</v>
      </c>
    </row>
    <row r="71" spans="1:14">
      <c r="A71" s="11"/>
      <c r="B71" s="99"/>
      <c r="C71" s="99"/>
      <c r="D71" s="99"/>
      <c r="E71" s="278"/>
      <c r="F71" s="99"/>
      <c r="G71" s="99"/>
      <c r="H71" s="99"/>
      <c r="I71" s="99"/>
      <c r="J71" s="99"/>
      <c r="K71" s="99"/>
      <c r="L71" s="236"/>
      <c r="M71" s="236"/>
      <c r="N71" s="267">
        <f t="shared" si="2"/>
        <v>0</v>
      </c>
    </row>
    <row r="72" spans="1:14">
      <c r="A72" s="53"/>
      <c r="B72" s="282"/>
      <c r="C72" s="282"/>
      <c r="D72" s="282"/>
      <c r="E72" s="282"/>
      <c r="F72" s="282"/>
      <c r="G72" s="282"/>
      <c r="H72" s="282"/>
      <c r="I72" s="282"/>
      <c r="J72" s="282"/>
      <c r="K72" s="282"/>
      <c r="L72" s="282"/>
      <c r="M72" s="282"/>
      <c r="N72" s="267">
        <f t="shared" si="2"/>
        <v>0</v>
      </c>
    </row>
    <row r="73" spans="1:14">
      <c r="A73" s="5" t="s">
        <v>14</v>
      </c>
      <c r="B73" s="224">
        <f t="shared" ref="B73:N73" si="3">SUM(B1:B72)</f>
        <v>56778.21</v>
      </c>
      <c r="C73" s="224">
        <f t="shared" si="3"/>
        <v>49870.3</v>
      </c>
      <c r="D73" s="224">
        <f t="shared" si="3"/>
        <v>35441.550000000003</v>
      </c>
      <c r="E73" s="224">
        <f t="shared" si="3"/>
        <v>45274.539999999994</v>
      </c>
      <c r="F73" s="224">
        <f t="shared" si="3"/>
        <v>0</v>
      </c>
      <c r="G73" s="224">
        <f t="shared" si="3"/>
        <v>0</v>
      </c>
      <c r="H73" s="224">
        <f t="shared" si="3"/>
        <v>0</v>
      </c>
      <c r="I73" s="224">
        <f t="shared" si="3"/>
        <v>0</v>
      </c>
      <c r="J73" s="224">
        <f t="shared" si="3"/>
        <v>0</v>
      </c>
      <c r="K73" s="224">
        <f t="shared" si="3"/>
        <v>0</v>
      </c>
      <c r="L73" s="224">
        <f t="shared" si="3"/>
        <v>0</v>
      </c>
      <c r="M73" s="224">
        <f t="shared" si="3"/>
        <v>0</v>
      </c>
      <c r="N73" s="268">
        <f t="shared" si="3"/>
        <v>187364.6</v>
      </c>
    </row>
    <row r="74" spans="1:14">
      <c r="N74" s="269">
        <f>SUM(B73:M73)-N73</f>
        <v>0</v>
      </c>
    </row>
  </sheetData>
  <phoneticPr fontId="31" type="noConversion"/>
  <pageMargins left="0.7" right="0.7" top="0.75" bottom="0.75" header="0.3" footer="0.3"/>
  <pageSetup paperSize="9" scale="5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8" tint="0.39997558519241921"/>
    <pageSetUpPr fitToPage="1"/>
  </sheetPr>
  <dimension ref="A1:N12"/>
  <sheetViews>
    <sheetView workbookViewId="0">
      <selection activeCell="E6" sqref="E6"/>
    </sheetView>
  </sheetViews>
  <sheetFormatPr defaultRowHeight="15"/>
  <cols>
    <col min="1" max="1" width="29.85546875" bestFit="1" customWidth="1"/>
    <col min="2" max="2" width="9.140625" style="30"/>
    <col min="3" max="3" width="7.85546875" style="30" customWidth="1"/>
    <col min="4" max="4" width="7.7109375" style="30" customWidth="1"/>
    <col min="5" max="5" width="9.140625" style="30"/>
    <col min="6" max="6" width="9.5703125" style="30" customWidth="1"/>
    <col min="7" max="7" width="8.140625" style="30" customWidth="1"/>
    <col min="8" max="8" width="8.28515625" style="30" customWidth="1"/>
    <col min="9" max="9" width="8.140625" style="30" customWidth="1"/>
    <col min="10" max="10" width="8.28515625" style="30" customWidth="1"/>
    <col min="11" max="11" width="8.42578125" style="30" customWidth="1"/>
    <col min="12" max="14" width="9.140625" style="30"/>
  </cols>
  <sheetData>
    <row r="1" spans="1:14">
      <c r="A1" s="14" t="s">
        <v>15</v>
      </c>
      <c r="B1" s="25"/>
      <c r="C1" s="25"/>
      <c r="D1" s="25"/>
      <c r="E1" s="25"/>
      <c r="F1" s="27"/>
      <c r="G1" s="27" t="str">
        <f ca="1">'ВСЕ затраты в 2020-2021 гг'!C1</f>
        <v>2021-2022гг.</v>
      </c>
      <c r="H1" s="25"/>
      <c r="I1" s="25"/>
      <c r="J1" s="25"/>
      <c r="K1" s="25"/>
      <c r="L1" s="25"/>
      <c r="M1" s="25"/>
      <c r="N1" s="24"/>
    </row>
    <row r="2" spans="1:14">
      <c r="A2" s="1"/>
      <c r="B2" s="22" t="s">
        <v>1</v>
      </c>
      <c r="C2" s="22" t="s">
        <v>2</v>
      </c>
      <c r="D2" s="22" t="s">
        <v>3</v>
      </c>
      <c r="E2" s="23" t="s">
        <v>4</v>
      </c>
      <c r="F2" s="22" t="s">
        <v>5</v>
      </c>
      <c r="G2" s="23" t="s">
        <v>6</v>
      </c>
      <c r="H2" s="22" t="s">
        <v>7</v>
      </c>
      <c r="I2" s="23" t="s">
        <v>8</v>
      </c>
      <c r="J2" s="22" t="s">
        <v>9</v>
      </c>
      <c r="K2" s="22" t="s">
        <v>10</v>
      </c>
      <c r="L2" s="22" t="s">
        <v>11</v>
      </c>
      <c r="M2" s="22" t="s">
        <v>12</v>
      </c>
      <c r="N2" s="22"/>
    </row>
    <row r="3" spans="1:14">
      <c r="A3" s="190" t="s">
        <v>102</v>
      </c>
      <c r="B3" s="93">
        <v>6794</v>
      </c>
      <c r="C3" s="93"/>
      <c r="D3" s="93"/>
      <c r="E3" s="93"/>
      <c r="F3" s="93"/>
      <c r="G3" s="93"/>
      <c r="H3" s="93"/>
      <c r="I3" s="93"/>
      <c r="J3" s="93"/>
      <c r="K3" s="93"/>
      <c r="L3" s="237"/>
      <c r="M3" s="237"/>
      <c r="N3" s="29">
        <f t="shared" ref="N3:N8" si="0">SUM(B3:M3)</f>
        <v>6794</v>
      </c>
    </row>
    <row r="4" spans="1:14">
      <c r="A4" s="190" t="s">
        <v>159</v>
      </c>
      <c r="B4" s="93">
        <v>3900</v>
      </c>
      <c r="C4" s="93"/>
      <c r="D4" s="93">
        <v>8016</v>
      </c>
      <c r="E4" s="93"/>
      <c r="F4" s="93"/>
      <c r="G4" s="93"/>
      <c r="H4" s="93"/>
      <c r="I4" s="93"/>
      <c r="J4" s="93"/>
      <c r="K4" s="93"/>
      <c r="L4" s="237"/>
      <c r="M4" s="237"/>
      <c r="N4" s="29">
        <f t="shared" si="0"/>
        <v>11916</v>
      </c>
    </row>
    <row r="5" spans="1:14">
      <c r="A5" s="200" t="s">
        <v>107</v>
      </c>
      <c r="B5" s="93"/>
      <c r="C5" s="93"/>
      <c r="D5" s="93"/>
      <c r="E5" s="93">
        <v>8400</v>
      </c>
      <c r="F5" s="93"/>
      <c r="G5" s="93"/>
      <c r="H5" s="93"/>
      <c r="I5" s="93"/>
      <c r="J5" s="93"/>
      <c r="K5" s="93"/>
      <c r="L5" s="237"/>
      <c r="M5" s="237"/>
      <c r="N5" s="29">
        <f t="shared" si="0"/>
        <v>8400</v>
      </c>
    </row>
    <row r="6" spans="1:14">
      <c r="A6" s="190" t="s">
        <v>190</v>
      </c>
      <c r="B6" s="93"/>
      <c r="C6" s="93"/>
      <c r="D6" s="93">
        <f>9135+1365</f>
        <v>10500</v>
      </c>
      <c r="E6" s="93"/>
      <c r="F6" s="93"/>
      <c r="G6" s="93"/>
      <c r="H6" s="93"/>
      <c r="I6" s="93"/>
      <c r="J6" s="93"/>
      <c r="K6" s="93"/>
      <c r="L6" s="237"/>
      <c r="M6" s="237"/>
      <c r="N6" s="29">
        <f t="shared" si="0"/>
        <v>10500</v>
      </c>
    </row>
    <row r="7" spans="1:14">
      <c r="A7" s="239"/>
      <c r="B7" s="93"/>
      <c r="C7" s="93"/>
      <c r="D7" s="93"/>
      <c r="E7" s="93"/>
      <c r="F7" s="93"/>
      <c r="G7" s="93"/>
      <c r="H7" s="93"/>
      <c r="I7" s="93"/>
      <c r="J7" s="93"/>
      <c r="K7" s="241"/>
      <c r="L7" s="237"/>
      <c r="M7" s="237"/>
      <c r="N7" s="29">
        <f t="shared" si="0"/>
        <v>0</v>
      </c>
    </row>
    <row r="8" spans="1:14">
      <c r="A8" s="56"/>
      <c r="B8" s="240"/>
      <c r="C8" s="240"/>
      <c r="D8" s="240"/>
      <c r="E8" s="240"/>
      <c r="F8" s="240"/>
      <c r="G8" s="240"/>
      <c r="H8" s="240"/>
      <c r="I8" s="240"/>
      <c r="J8" s="240"/>
      <c r="K8" s="240"/>
      <c r="L8" s="240"/>
      <c r="M8" s="240"/>
      <c r="N8" s="29">
        <f t="shared" si="0"/>
        <v>0</v>
      </c>
    </row>
    <row r="10" spans="1:14">
      <c r="A10" s="187" t="s">
        <v>14</v>
      </c>
      <c r="B10" s="230">
        <f t="shared" ref="B10:N10" si="1">SUM(B3:B8)</f>
        <v>10694</v>
      </c>
      <c r="C10" s="230">
        <f t="shared" si="1"/>
        <v>0</v>
      </c>
      <c r="D10" s="230">
        <f t="shared" si="1"/>
        <v>18516</v>
      </c>
      <c r="E10" s="230">
        <f t="shared" si="1"/>
        <v>8400</v>
      </c>
      <c r="F10" s="230">
        <f t="shared" si="1"/>
        <v>0</v>
      </c>
      <c r="G10" s="230">
        <f t="shared" si="1"/>
        <v>0</v>
      </c>
      <c r="H10" s="230">
        <f t="shared" si="1"/>
        <v>0</v>
      </c>
      <c r="I10" s="230">
        <f t="shared" si="1"/>
        <v>0</v>
      </c>
      <c r="J10" s="230">
        <f t="shared" si="1"/>
        <v>0</v>
      </c>
      <c r="K10" s="230">
        <f t="shared" si="1"/>
        <v>0</v>
      </c>
      <c r="L10" s="230">
        <f t="shared" si="1"/>
        <v>0</v>
      </c>
      <c r="M10" s="230">
        <f t="shared" si="1"/>
        <v>0</v>
      </c>
      <c r="N10" s="230">
        <f t="shared" si="1"/>
        <v>37610</v>
      </c>
    </row>
    <row r="12" spans="1:14">
      <c r="N12" s="234">
        <f>SUM(B10:M10)-N10</f>
        <v>0</v>
      </c>
    </row>
  </sheetData>
  <phoneticPr fontId="31" type="noConversion"/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70C0"/>
    <pageSetUpPr fitToPage="1"/>
  </sheetPr>
  <dimension ref="A1:N8"/>
  <sheetViews>
    <sheetView workbookViewId="0">
      <selection activeCell="E6" sqref="E6"/>
    </sheetView>
  </sheetViews>
  <sheetFormatPr defaultRowHeight="15"/>
  <cols>
    <col min="1" max="1" width="16.42578125" bestFit="1" customWidth="1"/>
    <col min="2" max="2" width="11.140625" style="30" customWidth="1"/>
    <col min="3" max="3" width="9.140625" style="30"/>
    <col min="4" max="4" width="9.7109375" style="30" customWidth="1"/>
    <col min="5" max="5" width="10.28515625" style="30" customWidth="1"/>
    <col min="6" max="6" width="9.42578125" style="30" customWidth="1"/>
    <col min="7" max="7" width="8" style="30" customWidth="1"/>
    <col min="8" max="14" width="9.140625" style="30"/>
  </cols>
  <sheetData>
    <row r="1" spans="1:14">
      <c r="A1" s="14" t="s">
        <v>16</v>
      </c>
      <c r="B1" s="25"/>
      <c r="C1" s="25"/>
      <c r="D1" s="25"/>
      <c r="E1" s="25"/>
      <c r="F1" s="27"/>
      <c r="G1" s="27" t="str">
        <f ca="1">'ВСЕ затраты в 2020-2021 гг'!C1</f>
        <v>2021-2022гг.</v>
      </c>
      <c r="H1" s="25"/>
      <c r="I1" s="25"/>
      <c r="J1" s="25"/>
      <c r="K1" s="25"/>
      <c r="L1" s="25"/>
      <c r="M1" s="25"/>
      <c r="N1" s="24"/>
    </row>
    <row r="2" spans="1:14">
      <c r="A2" s="1"/>
      <c r="B2" s="22" t="s">
        <v>1</v>
      </c>
      <c r="C2" s="22" t="s">
        <v>2</v>
      </c>
      <c r="D2" s="22" t="s">
        <v>3</v>
      </c>
      <c r="E2" s="23" t="s">
        <v>4</v>
      </c>
      <c r="F2" s="22" t="s">
        <v>5</v>
      </c>
      <c r="G2" s="23" t="s">
        <v>6</v>
      </c>
      <c r="H2" s="22" t="s">
        <v>7</v>
      </c>
      <c r="I2" s="23" t="s">
        <v>8</v>
      </c>
      <c r="J2" s="22" t="s">
        <v>9</v>
      </c>
      <c r="K2" s="22" t="s">
        <v>10</v>
      </c>
      <c r="L2" s="22" t="s">
        <v>11</v>
      </c>
      <c r="M2" s="22" t="s">
        <v>12</v>
      </c>
      <c r="N2" s="22"/>
    </row>
    <row r="3" spans="1:14">
      <c r="A3" s="2" t="s">
        <v>158</v>
      </c>
      <c r="B3" s="29"/>
      <c r="C3" s="29">
        <v>2000</v>
      </c>
      <c r="D3" s="29"/>
      <c r="E3" s="28"/>
      <c r="F3" s="29"/>
      <c r="G3" s="28"/>
      <c r="H3" s="29"/>
      <c r="I3" s="28"/>
      <c r="J3" s="29"/>
      <c r="K3" s="29"/>
      <c r="L3" s="29"/>
      <c r="M3" s="29"/>
      <c r="N3" s="29"/>
    </row>
    <row r="4" spans="1:14">
      <c r="A4" s="17" t="s">
        <v>91</v>
      </c>
      <c r="B4" s="93">
        <v>2000</v>
      </c>
      <c r="C4" s="93">
        <v>2000</v>
      </c>
      <c r="D4" s="93">
        <v>2000</v>
      </c>
      <c r="E4" s="93">
        <v>2000</v>
      </c>
      <c r="F4" s="93"/>
      <c r="G4" s="93"/>
      <c r="H4" s="93"/>
      <c r="I4" s="93"/>
      <c r="J4" s="93"/>
      <c r="K4" s="93"/>
      <c r="L4" s="93"/>
      <c r="M4" s="93"/>
      <c r="N4" s="32">
        <f>SUM(B4:M4)</f>
        <v>8000</v>
      </c>
    </row>
    <row r="5" spans="1:14">
      <c r="A5" s="190" t="s">
        <v>111</v>
      </c>
      <c r="B5" s="93">
        <v>5000</v>
      </c>
      <c r="C5" s="93">
        <f>5195.7+5000</f>
        <v>10195.700000000001</v>
      </c>
      <c r="D5" s="93">
        <f>5000+5000</f>
        <v>10000</v>
      </c>
      <c r="E5" s="93">
        <f>5000+5000</f>
        <v>10000</v>
      </c>
      <c r="F5" s="93"/>
      <c r="G5" s="93"/>
      <c r="H5" s="93"/>
      <c r="I5" s="93"/>
      <c r="J5" s="93"/>
      <c r="K5" s="93"/>
      <c r="L5" s="237"/>
      <c r="M5" s="237"/>
      <c r="N5" s="32">
        <f>SUM(B5:M5)</f>
        <v>35195.699999999997</v>
      </c>
    </row>
    <row r="6" spans="1:14">
      <c r="A6" s="217" t="s">
        <v>14</v>
      </c>
      <c r="B6" s="230">
        <f t="shared" ref="B6:N6" si="0">SUM(B4:B5)</f>
        <v>7000</v>
      </c>
      <c r="C6" s="231">
        <f t="shared" si="0"/>
        <v>12195.7</v>
      </c>
      <c r="D6" s="231">
        <f t="shared" si="0"/>
        <v>12000</v>
      </c>
      <c r="E6" s="231">
        <f t="shared" si="0"/>
        <v>12000</v>
      </c>
      <c r="F6" s="231">
        <f t="shared" si="0"/>
        <v>0</v>
      </c>
      <c r="G6" s="231">
        <f t="shared" si="0"/>
        <v>0</v>
      </c>
      <c r="H6" s="231">
        <f t="shared" si="0"/>
        <v>0</v>
      </c>
      <c r="I6" s="231">
        <f t="shared" si="0"/>
        <v>0</v>
      </c>
      <c r="J6" s="231">
        <f t="shared" si="0"/>
        <v>0</v>
      </c>
      <c r="K6" s="231">
        <f t="shared" si="0"/>
        <v>0</v>
      </c>
      <c r="L6" s="231">
        <f t="shared" si="0"/>
        <v>0</v>
      </c>
      <c r="M6" s="231">
        <f t="shared" si="0"/>
        <v>0</v>
      </c>
      <c r="N6" s="231">
        <f t="shared" si="0"/>
        <v>43195.7</v>
      </c>
    </row>
    <row r="8" spans="1:14">
      <c r="N8" s="234">
        <f>SUM(B6:M6)-N6</f>
        <v>0</v>
      </c>
    </row>
  </sheetData>
  <phoneticPr fontId="31" type="noConversion"/>
  <pageMargins left="0.7" right="0.7" top="0.75" bottom="0.75" header="0.3" footer="0.3"/>
  <pageSetup paperSize="9" scale="9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N11"/>
  <sheetViews>
    <sheetView workbookViewId="0">
      <selection activeCell="E4" sqref="E4"/>
    </sheetView>
  </sheetViews>
  <sheetFormatPr defaultRowHeight="15"/>
  <cols>
    <col min="1" max="1" width="27.28515625" bestFit="1" customWidth="1"/>
    <col min="3" max="3" width="9.28515625" customWidth="1"/>
    <col min="4" max="4" width="9.42578125" customWidth="1"/>
    <col min="5" max="5" width="10.42578125" customWidth="1"/>
    <col min="6" max="6" width="10.140625" customWidth="1"/>
    <col min="7" max="7" width="8" customWidth="1"/>
    <col min="8" max="8" width="8.85546875" customWidth="1"/>
    <col min="12" max="12" width="10.42578125" customWidth="1"/>
  </cols>
  <sheetData>
    <row r="1" spans="1:14">
      <c r="A1" s="14" t="s">
        <v>18</v>
      </c>
      <c r="B1" s="2"/>
      <c r="C1" s="2"/>
      <c r="D1" s="2"/>
      <c r="E1" s="2"/>
      <c r="F1" s="27"/>
      <c r="G1" s="27" t="str">
        <f ca="1">'ВСЕ затраты в 2020-2021 гг'!C1</f>
        <v>2021-2022гг.</v>
      </c>
      <c r="H1" s="2"/>
      <c r="I1" s="2"/>
      <c r="J1" s="2"/>
      <c r="K1" s="2"/>
      <c r="L1" s="2"/>
      <c r="M1" s="2"/>
      <c r="N1" s="1"/>
    </row>
    <row r="2" spans="1:14">
      <c r="A2" s="1"/>
      <c r="B2" s="32" t="s">
        <v>1</v>
      </c>
      <c r="C2" s="32" t="s">
        <v>2</v>
      </c>
      <c r="D2" s="32" t="s">
        <v>3</v>
      </c>
      <c r="E2" s="331" t="s">
        <v>4</v>
      </c>
      <c r="F2" s="32" t="s">
        <v>5</v>
      </c>
      <c r="G2" s="331" t="s">
        <v>6</v>
      </c>
      <c r="H2" s="32" t="s">
        <v>7</v>
      </c>
      <c r="I2" s="331" t="s">
        <v>8</v>
      </c>
      <c r="J2" s="32" t="s">
        <v>9</v>
      </c>
      <c r="K2" s="32" t="s">
        <v>10</v>
      </c>
      <c r="L2" s="32" t="s">
        <v>11</v>
      </c>
      <c r="M2" s="32" t="s">
        <v>12</v>
      </c>
      <c r="N2" s="188" t="s">
        <v>14</v>
      </c>
    </row>
    <row r="3" spans="1:14" ht="25.5" customHeight="1">
      <c r="A3" s="205" t="s">
        <v>18</v>
      </c>
      <c r="B3" s="88">
        <f ca="1">37600+25850+26250+25083.33+32000+22000+14000+14000+364+61396+3438+108812+30000-'премиальный фонд'!B4+117094.31+45211+14618.28</f>
        <v>536203.27</v>
      </c>
      <c r="C3" s="88">
        <f ca="1">-'премиальный фонд'!C4+37600+26032+31238.1+23500+14000+14000+3910+5382+67297+5366+180128.28+111550+26168.75+2000</f>
        <v>527509.03</v>
      </c>
      <c r="D3" s="88">
        <f ca="1">3500+5000+100430+137990.76+37963.36+7319.63+24579.55+21000+38572+2385+549+32000+11000+14000+14000+1041.65</f>
        <v>451330.95</v>
      </c>
      <c r="E3" s="88">
        <f ca="1">-'премиальный фонд'!E4+37600+29807.76+34422.62+21625+63942+32000+22000+14000+14000+188634.09+19061.76+34490.07+3000+128410</f>
        <v>611134.07000000007</v>
      </c>
      <c r="F3" s="88"/>
      <c r="G3" s="88"/>
      <c r="H3" s="88"/>
      <c r="I3" s="180"/>
      <c r="J3" s="88"/>
      <c r="K3" s="88"/>
      <c r="L3" s="88"/>
      <c r="M3" s="197"/>
      <c r="N3" s="186">
        <f>SUM(B3:M3)</f>
        <v>2126177.3200000003</v>
      </c>
    </row>
    <row r="4" spans="1:14" ht="26.25" customHeight="1">
      <c r="A4" s="212" t="s">
        <v>110</v>
      </c>
      <c r="B4" s="88">
        <f>23008.94+3834.7</f>
        <v>26843.64</v>
      </c>
      <c r="C4" s="88">
        <f>34019.29+35909.78</f>
        <v>69929.070000000007</v>
      </c>
      <c r="D4" s="88">
        <f>4397.84+15956.01+3671.14</f>
        <v>24024.989999999998</v>
      </c>
      <c r="E4" s="88">
        <f>17500.9+3146+3550.78</f>
        <v>24197.68</v>
      </c>
      <c r="F4" s="88"/>
      <c r="G4" s="88"/>
      <c r="H4" s="88"/>
      <c r="I4" s="180"/>
      <c r="J4" s="180"/>
      <c r="K4" s="180"/>
      <c r="L4" s="88"/>
      <c r="M4" s="196"/>
      <c r="N4" s="186">
        <f>SUM(B4:M4)</f>
        <v>144995.38</v>
      </c>
    </row>
    <row r="5" spans="1:14">
      <c r="A5" s="4" t="s">
        <v>98</v>
      </c>
      <c r="B5" s="190">
        <v>30000</v>
      </c>
      <c r="C5" s="190">
        <v>30000</v>
      </c>
      <c r="D5" s="190">
        <v>30000</v>
      </c>
      <c r="E5" s="191">
        <v>30000</v>
      </c>
      <c r="F5" s="190"/>
      <c r="G5" s="191"/>
      <c r="H5" s="190"/>
      <c r="I5" s="191"/>
      <c r="J5" s="190"/>
      <c r="K5" s="190"/>
      <c r="L5" s="196"/>
      <c r="M5" s="196"/>
      <c r="N5" s="186">
        <f>SUM(B5:M5)</f>
        <v>120000</v>
      </c>
    </row>
    <row r="6" spans="1:14">
      <c r="A6" s="5" t="s">
        <v>14</v>
      </c>
      <c r="B6" s="225">
        <f>SUM(B3:B5)</f>
        <v>593046.91</v>
      </c>
      <c r="C6" s="225">
        <f>SUM(C3:C5)</f>
        <v>627438.10000000009</v>
      </c>
      <c r="D6" s="225">
        <f>SUM(D3:D5)</f>
        <v>505355.94</v>
      </c>
      <c r="E6" s="225">
        <f t="shared" ref="E6:M6" si="0">SUM(E3:E5)</f>
        <v>665331.75000000012</v>
      </c>
      <c r="F6" s="225">
        <f t="shared" si="0"/>
        <v>0</v>
      </c>
      <c r="G6" s="225">
        <f t="shared" si="0"/>
        <v>0</v>
      </c>
      <c r="H6" s="225">
        <f t="shared" si="0"/>
        <v>0</v>
      </c>
      <c r="I6" s="225">
        <f t="shared" si="0"/>
        <v>0</v>
      </c>
      <c r="J6" s="225">
        <f t="shared" si="0"/>
        <v>0</v>
      </c>
      <c r="K6" s="225">
        <f t="shared" si="0"/>
        <v>0</v>
      </c>
      <c r="L6" s="225">
        <f t="shared" si="0"/>
        <v>0</v>
      </c>
      <c r="M6" s="225">
        <f t="shared" si="0"/>
        <v>0</v>
      </c>
      <c r="N6" s="225">
        <f>SUM(N3:N5)</f>
        <v>2391172.7000000002</v>
      </c>
    </row>
    <row r="8" spans="1:14">
      <c r="N8" s="234">
        <f>SUM(B6:M6)-N6</f>
        <v>0</v>
      </c>
    </row>
    <row r="9" spans="1:14">
      <c r="A9" s="97"/>
      <c r="B9" s="97"/>
      <c r="C9" s="97"/>
      <c r="D9" s="97"/>
      <c r="E9" s="97"/>
      <c r="F9" s="97"/>
      <c r="G9" s="97"/>
      <c r="H9" s="97"/>
      <c r="I9" s="97"/>
      <c r="J9" s="97"/>
      <c r="K9" s="97"/>
    </row>
    <row r="10" spans="1:14" s="325" customFormat="1" ht="15.75">
      <c r="A10" s="98"/>
      <c r="B10" s="98"/>
      <c r="C10" s="324"/>
      <c r="E10" s="98"/>
      <c r="F10" s="98"/>
      <c r="G10" s="98"/>
      <c r="H10" s="98"/>
      <c r="I10" s="98"/>
      <c r="J10" s="98"/>
      <c r="K10" s="98"/>
      <c r="M10" s="328"/>
    </row>
    <row r="11" spans="1:14" ht="18.75">
      <c r="A11" s="210"/>
      <c r="B11" s="210"/>
      <c r="C11" s="210"/>
      <c r="D11" s="210"/>
      <c r="E11" s="210"/>
      <c r="F11" s="210"/>
      <c r="G11" s="210"/>
      <c r="H11" s="210"/>
      <c r="I11" s="210"/>
      <c r="J11" s="210"/>
      <c r="K11" s="210"/>
      <c r="L11" s="211"/>
    </row>
  </sheetData>
  <phoneticPr fontId="31" type="noConversion"/>
  <pageMargins left="0.7" right="0.7" top="0.75" bottom="0.75" header="0.3" footer="0.3"/>
  <pageSetup paperSize="9" scale="8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N8"/>
  <sheetViews>
    <sheetView workbookViewId="0">
      <selection activeCell="E5" sqref="E5"/>
    </sheetView>
  </sheetViews>
  <sheetFormatPr defaultRowHeight="15"/>
  <cols>
    <col min="1" max="1" width="20.28515625" style="30" bestFit="1" customWidth="1"/>
    <col min="2" max="2" width="10.28515625" style="30" customWidth="1"/>
    <col min="3" max="3" width="10.7109375" style="30" customWidth="1"/>
    <col min="4" max="4" width="8.5703125" style="30" customWidth="1"/>
    <col min="5" max="5" width="10" style="30" customWidth="1"/>
    <col min="6" max="14" width="9.140625" style="30"/>
  </cols>
  <sheetData>
    <row r="1" spans="1:14">
      <c r="A1" s="26" t="s">
        <v>19</v>
      </c>
      <c r="B1" s="25"/>
      <c r="C1" s="25"/>
      <c r="D1" s="25"/>
      <c r="E1" s="25"/>
      <c r="F1" s="27"/>
      <c r="G1" s="27" t="str">
        <f ca="1">'ВСЕ затраты в 2020-2021 гг'!C1</f>
        <v>2021-2022гг.</v>
      </c>
      <c r="H1" s="25"/>
      <c r="I1" s="25"/>
      <c r="J1" s="25"/>
      <c r="K1" s="25"/>
      <c r="L1" s="25"/>
      <c r="M1" s="25"/>
      <c r="N1" s="24"/>
    </row>
    <row r="2" spans="1:14">
      <c r="A2" s="24"/>
      <c r="B2" s="22" t="s">
        <v>1</v>
      </c>
      <c r="C2" s="22" t="s">
        <v>2</v>
      </c>
      <c r="D2" s="22" t="s">
        <v>3</v>
      </c>
      <c r="E2" s="23" t="s">
        <v>4</v>
      </c>
      <c r="F2" s="22" t="s">
        <v>5</v>
      </c>
      <c r="G2" s="23" t="s">
        <v>6</v>
      </c>
      <c r="H2" s="22" t="s">
        <v>7</v>
      </c>
      <c r="I2" s="23" t="s">
        <v>8</v>
      </c>
      <c r="J2" s="22" t="s">
        <v>9</v>
      </c>
      <c r="K2" s="22" t="s">
        <v>10</v>
      </c>
      <c r="L2" s="22" t="s">
        <v>11</v>
      </c>
      <c r="M2" s="22" t="s">
        <v>12</v>
      </c>
      <c r="N2" s="22"/>
    </row>
    <row r="3" spans="1:14" ht="29.25" customHeight="1">
      <c r="A3" s="213" t="s">
        <v>81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32">
        <f>SUM(B3:M3)</f>
        <v>0</v>
      </c>
    </row>
    <row r="4" spans="1:14">
      <c r="A4" s="213" t="s">
        <v>97</v>
      </c>
      <c r="B4" s="93">
        <v>41513.65</v>
      </c>
      <c r="C4" s="93">
        <v>20663.099999999999</v>
      </c>
      <c r="D4" s="93">
        <v>0</v>
      </c>
      <c r="E4" s="93">
        <v>31859.23</v>
      </c>
      <c r="F4" s="93"/>
      <c r="G4" s="93"/>
      <c r="H4" s="93"/>
      <c r="I4" s="93"/>
      <c r="J4" s="93"/>
      <c r="K4" s="93"/>
      <c r="L4" s="93"/>
      <c r="M4" s="93"/>
      <c r="N4" s="32">
        <f>SUM(B4:M4)</f>
        <v>94035.98</v>
      </c>
    </row>
    <row r="5" spans="1:14">
      <c r="A5" s="27" t="s">
        <v>14</v>
      </c>
      <c r="B5" s="224">
        <f>SUM(B3:B4)</f>
        <v>41513.65</v>
      </c>
      <c r="C5" s="224">
        <f t="shared" ref="C5:M5" si="0">SUM(C3:C4)</f>
        <v>20663.099999999999</v>
      </c>
      <c r="D5" s="224">
        <f t="shared" si="0"/>
        <v>0</v>
      </c>
      <c r="E5" s="224">
        <f t="shared" si="0"/>
        <v>31859.23</v>
      </c>
      <c r="F5" s="224">
        <f t="shared" si="0"/>
        <v>0</v>
      </c>
      <c r="G5" s="224">
        <f t="shared" si="0"/>
        <v>0</v>
      </c>
      <c r="H5" s="224">
        <f t="shared" si="0"/>
        <v>0</v>
      </c>
      <c r="I5" s="224">
        <f t="shared" si="0"/>
        <v>0</v>
      </c>
      <c r="J5" s="224">
        <f t="shared" si="0"/>
        <v>0</v>
      </c>
      <c r="K5" s="224">
        <f t="shared" si="0"/>
        <v>0</v>
      </c>
      <c r="L5" s="224">
        <f t="shared" si="0"/>
        <v>0</v>
      </c>
      <c r="M5" s="224">
        <f t="shared" si="0"/>
        <v>0</v>
      </c>
      <c r="N5" s="224">
        <f>SUM(N3:N4)</f>
        <v>94035.98</v>
      </c>
    </row>
    <row r="7" spans="1:14">
      <c r="N7" s="234">
        <f>SUM(B5:M5)-N5</f>
        <v>0</v>
      </c>
    </row>
    <row r="8" spans="1:14">
      <c r="A8" s="326"/>
    </row>
  </sheetData>
  <phoneticPr fontId="31" type="noConversion"/>
  <pageMargins left="0.7" right="0.7" top="0.75" bottom="0.75" header="0.3" footer="0.3"/>
  <pageSetup paperSize="9" scale="9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9" tint="0.59999389629810485"/>
    <pageSetUpPr fitToPage="1"/>
  </sheetPr>
  <dimension ref="A1:N14"/>
  <sheetViews>
    <sheetView workbookViewId="0">
      <selection activeCell="E4" sqref="E4"/>
    </sheetView>
  </sheetViews>
  <sheetFormatPr defaultRowHeight="15"/>
  <cols>
    <col min="1" max="1" width="28.28515625" bestFit="1" customWidth="1"/>
    <col min="2" max="2" width="7.5703125" customWidth="1"/>
    <col min="3" max="4" width="8" customWidth="1"/>
    <col min="5" max="5" width="9" customWidth="1"/>
    <col min="6" max="6" width="9.28515625" customWidth="1"/>
  </cols>
  <sheetData>
    <row r="1" spans="1:14">
      <c r="A1" s="14" t="s">
        <v>20</v>
      </c>
      <c r="B1" s="2"/>
      <c r="C1" s="2"/>
      <c r="D1" s="2"/>
      <c r="E1" s="2"/>
      <c r="F1" s="27"/>
      <c r="G1" s="27" t="str">
        <f ca="1">'ВСЕ затраты в 2020-2021 гг'!C1</f>
        <v>2021-2022гг.</v>
      </c>
      <c r="H1" s="2"/>
      <c r="I1" s="2"/>
      <c r="J1" s="2"/>
      <c r="K1" s="2"/>
      <c r="L1" s="2"/>
      <c r="M1" s="2"/>
      <c r="N1" s="1"/>
    </row>
    <row r="2" spans="1:14">
      <c r="A2" s="1"/>
      <c r="B2" s="22" t="s">
        <v>1</v>
      </c>
      <c r="C2" s="22" t="s">
        <v>2</v>
      </c>
      <c r="D2" s="32" t="s">
        <v>3</v>
      </c>
      <c r="E2" s="23" t="s">
        <v>4</v>
      </c>
      <c r="F2" s="22" t="s">
        <v>5</v>
      </c>
      <c r="G2" s="23" t="s">
        <v>6</v>
      </c>
      <c r="H2" s="22" t="s">
        <v>7</v>
      </c>
      <c r="I2" s="23" t="s">
        <v>8</v>
      </c>
      <c r="J2" s="22" t="s">
        <v>9</v>
      </c>
      <c r="K2" s="22" t="s">
        <v>10</v>
      </c>
      <c r="L2" s="22" t="s">
        <v>11</v>
      </c>
      <c r="M2" s="22" t="s">
        <v>12</v>
      </c>
      <c r="N2" s="22"/>
    </row>
    <row r="3" spans="1:14">
      <c r="A3" s="190" t="s">
        <v>95</v>
      </c>
      <c r="B3" s="190">
        <f>154707.72+18407.99+1406.44+26659.41+1400</f>
        <v>202581.56</v>
      </c>
      <c r="C3" s="190">
        <f>149689.32+18174.63+1360.82+27481.17</f>
        <v>196705.94</v>
      </c>
      <c r="D3" s="97">
        <f>115070.35+13828.24+1048.26+20462.09</f>
        <v>150408.94</v>
      </c>
      <c r="E3" s="190">
        <f>16627.41+1279.24+24246.99+143026.56</f>
        <v>185180.2</v>
      </c>
      <c r="F3" s="190"/>
      <c r="G3" s="190"/>
      <c r="H3" s="190"/>
      <c r="I3" s="190"/>
      <c r="J3" s="190"/>
      <c r="K3" s="190"/>
      <c r="L3" s="190"/>
      <c r="M3" s="190"/>
      <c r="N3" s="6">
        <f>SUM(B3:M3)</f>
        <v>734876.6399999999</v>
      </c>
    </row>
    <row r="4" spans="1:14">
      <c r="A4" s="190" t="s">
        <v>120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6">
        <f>SUM(B4:M4)</f>
        <v>0</v>
      </c>
    </row>
    <row r="5" spans="1:14">
      <c r="A5" s="190" t="s">
        <v>92</v>
      </c>
      <c r="B5" s="190">
        <v>500</v>
      </c>
      <c r="C5" s="190"/>
      <c r="D5" s="190"/>
      <c r="E5" s="190">
        <v>500</v>
      </c>
      <c r="F5" s="190"/>
      <c r="G5" s="190"/>
      <c r="H5" s="190"/>
      <c r="I5" s="190"/>
      <c r="J5" s="190"/>
      <c r="K5" s="190"/>
      <c r="L5" s="190"/>
      <c r="M5" s="196"/>
      <c r="N5" s="6">
        <f>SUM(B5:M5)</f>
        <v>1000</v>
      </c>
    </row>
    <row r="6" spans="1:14">
      <c r="A6" s="5" t="s">
        <v>14</v>
      </c>
      <c r="B6" s="225">
        <f t="shared" ref="B6:N6" si="0">SUM(B3:B5)</f>
        <v>203081.56</v>
      </c>
      <c r="C6" s="225">
        <f t="shared" si="0"/>
        <v>196705.94</v>
      </c>
      <c r="D6" s="225">
        <f>SUM(D3:D5)</f>
        <v>150408.94</v>
      </c>
      <c r="E6" s="225">
        <f t="shared" si="0"/>
        <v>185680.2</v>
      </c>
      <c r="F6" s="225">
        <f t="shared" si="0"/>
        <v>0</v>
      </c>
      <c r="G6" s="225">
        <f t="shared" si="0"/>
        <v>0</v>
      </c>
      <c r="H6" s="225">
        <f t="shared" si="0"/>
        <v>0</v>
      </c>
      <c r="I6" s="225">
        <f t="shared" si="0"/>
        <v>0</v>
      </c>
      <c r="J6" s="225">
        <f t="shared" si="0"/>
        <v>0</v>
      </c>
      <c r="K6" s="225">
        <f t="shared" si="0"/>
        <v>0</v>
      </c>
      <c r="L6" s="225">
        <f t="shared" si="0"/>
        <v>0</v>
      </c>
      <c r="M6" s="225">
        <f t="shared" si="0"/>
        <v>0</v>
      </c>
      <c r="N6" s="225">
        <f t="shared" si="0"/>
        <v>735876.6399999999</v>
      </c>
    </row>
    <row r="8" spans="1:14">
      <c r="N8" s="234">
        <f>SUM(B6:M6)-N6</f>
        <v>0</v>
      </c>
    </row>
    <row r="9" spans="1:14" ht="15.75" hidden="1">
      <c r="A9" s="380"/>
      <c r="B9" s="380"/>
      <c r="C9" s="380"/>
      <c r="D9" s="380"/>
      <c r="E9" s="380"/>
      <c r="F9" s="380"/>
      <c r="G9" s="380"/>
      <c r="H9" s="380"/>
      <c r="I9" s="380"/>
      <c r="J9" s="380"/>
      <c r="K9" s="380"/>
      <c r="L9" s="380"/>
    </row>
    <row r="10" spans="1:14" ht="15.75" hidden="1">
      <c r="A10" s="380"/>
      <c r="B10" s="380"/>
      <c r="C10" s="380"/>
      <c r="D10" s="380"/>
      <c r="E10" s="380"/>
      <c r="F10" s="380"/>
      <c r="G10" s="380"/>
      <c r="H10" s="380"/>
      <c r="I10" s="380"/>
      <c r="J10" s="380"/>
      <c r="K10" s="380"/>
      <c r="L10" s="380"/>
    </row>
    <row r="11" spans="1:14" hidden="1"/>
    <row r="12" spans="1:14" ht="15.75" hidden="1">
      <c r="A12" s="79"/>
      <c r="B12" s="98"/>
      <c r="C12" s="98"/>
      <c r="D12" s="98"/>
      <c r="E12" s="98"/>
      <c r="F12" s="98"/>
      <c r="G12" s="98"/>
      <c r="H12" s="98"/>
      <c r="I12" s="98"/>
      <c r="J12" s="98"/>
      <c r="K12" s="98"/>
    </row>
    <row r="13" spans="1:14" ht="15.75" hidden="1">
      <c r="A13" s="378"/>
      <c r="B13" s="378"/>
      <c r="C13" s="378"/>
      <c r="D13" s="378"/>
      <c r="E13" s="378"/>
      <c r="F13" s="378"/>
      <c r="G13" s="378"/>
      <c r="H13" s="378"/>
      <c r="I13" s="378"/>
      <c r="J13" s="378"/>
      <c r="K13" s="378"/>
      <c r="L13" s="379"/>
    </row>
    <row r="14" spans="1:14" hidden="1"/>
  </sheetData>
  <mergeCells count="3">
    <mergeCell ref="A13:L13"/>
    <mergeCell ref="A9:L9"/>
    <mergeCell ref="A10:L10"/>
  </mergeCells>
  <phoneticPr fontId="31" type="noConversion"/>
  <pageMargins left="0.25" right="0.25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25</vt:i4>
      </vt:variant>
      <vt:variant>
        <vt:lpstr>Именованные диапазоны</vt:lpstr>
      </vt:variant>
      <vt:variant>
        <vt:i4>1</vt:i4>
      </vt:variant>
    </vt:vector>
  </HeadingPairs>
  <TitlesOfParts>
    <vt:vector size="26" baseType="lpstr">
      <vt:lpstr>ВСЕ затраты за 6 мес.</vt:lpstr>
      <vt:lpstr>ВСЕ затраты в 2020-2021 гг</vt:lpstr>
      <vt:lpstr>ВСЕ затраты в 2016-2017 гг (2)</vt:lpstr>
      <vt:lpstr>общехоз расходы</vt:lpstr>
      <vt:lpstr>программ обеспечение</vt:lpstr>
      <vt:lpstr>услуги связи</vt:lpstr>
      <vt:lpstr>з пл</vt:lpstr>
      <vt:lpstr>премиальный фонд</vt:lpstr>
      <vt:lpstr>налог с ФОТ</vt:lpstr>
      <vt:lpstr>приобрт инвентаря и оборуд</vt:lpstr>
      <vt:lpstr>сод охраны</vt:lpstr>
      <vt:lpstr>вывоз мусора</vt:lpstr>
      <vt:lpstr>содерж газ оборуд</vt:lpstr>
      <vt:lpstr>сод сетей водоснабжения</vt:lpstr>
      <vt:lpstr>канализация</vt:lpstr>
      <vt:lpstr>электроснабжение</vt:lpstr>
      <vt:lpstr>содерж дорог</vt:lpstr>
      <vt:lpstr>ямочный ремонт</vt:lpstr>
      <vt:lpstr>благоустройство</vt:lpstr>
      <vt:lpstr>резервный фонд</vt:lpstr>
      <vt:lpstr>Ремонт водопров.</vt:lpstr>
      <vt:lpstr>Лиц.скважин</vt:lpstr>
      <vt:lpstr>Оформление земли</vt:lpstr>
      <vt:lpstr>Глуб.насос</vt:lpstr>
      <vt:lpstr>Помещ.охраны</vt:lpstr>
      <vt:lpstr>'ВСЕ затраты в 2020-2021 гг'!Область_печати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</dc:creator>
  <cp:lastModifiedBy>user</cp:lastModifiedBy>
  <cp:lastPrinted>2019-08-08T10:21:13Z</cp:lastPrinted>
  <dcterms:created xsi:type="dcterms:W3CDTF">2015-11-16T11:04:42Z</dcterms:created>
  <dcterms:modified xsi:type="dcterms:W3CDTF">2021-10-04T16:40:56Z</dcterms:modified>
</cp:coreProperties>
</file>