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460" tabRatio="797" firstSheet="15" activeTab="22"/>
  </bookViews>
  <sheets>
    <sheet name="ВСЕ затраты за 6 мес." sheetId="23" state="hidden" r:id="rId1"/>
    <sheet name="ВСЕ затраты в 2018-2019 гг" sheetId="20" r:id="rId2"/>
    <sheet name="ВСЕ затраты в 2016-2017 гг (2)" sheetId="21" state="hidden" r:id="rId3"/>
    <sheet name="общехоз расходы" sheetId="1" r:id="rId4"/>
    <sheet name="программ обеспечение" sheetId="2" r:id="rId5"/>
    <sheet name="услуги связи" sheetId="3" r:id="rId6"/>
    <sheet name="з пл" sheetId="5" r:id="rId7"/>
    <sheet name="премиальный фонд" sheetId="6" r:id="rId8"/>
    <sheet name="налог с ФОТ" sheetId="7" r:id="rId9"/>
    <sheet name="приобрт инвентаря и оборуд" sheetId="8" r:id="rId10"/>
    <sheet name="вывоз мусора" sheetId="9" r:id="rId11"/>
    <sheet name="сод охраны" sheetId="10" r:id="rId12"/>
    <sheet name="содерж газ оборуд" sheetId="11" r:id="rId13"/>
    <sheet name="сод сетей водоснабжения" sheetId="12" r:id="rId14"/>
    <sheet name="Ремонт водопров. (закольцовка)" sheetId="25" r:id="rId15"/>
    <sheet name="сод сетей канализации" sheetId="13" r:id="rId16"/>
    <sheet name="сод сетей электроснабжения" sheetId="14" r:id="rId17"/>
    <sheet name="электроэнергия на общ нужды" sheetId="15" r:id="rId18"/>
    <sheet name="технич потери в сетях" sheetId="16" r:id="rId19"/>
    <sheet name="содерж дорог" sheetId="17" r:id="rId20"/>
    <sheet name="Ямочный ремонт дорог" sheetId="26" r:id="rId21"/>
    <sheet name="благоустройство" sheetId="18" r:id="rId22"/>
    <sheet name="резервный фонд" sheetId="19" r:id="rId23"/>
  </sheets>
  <calcPr calcId="114210"/>
</workbook>
</file>

<file path=xl/calcChain.xml><?xml version="1.0" encoding="utf-8"?>
<calcChain xmlns="http://schemas.openxmlformats.org/spreadsheetml/2006/main">
  <c r="M3" i="7"/>
  <c r="T11" i="20"/>
  <c r="N5" i="12"/>
  <c r="M36" i="1"/>
  <c r="N21" i="12"/>
  <c r="N20"/>
  <c r="N19"/>
  <c r="N18"/>
  <c r="N23"/>
  <c r="N22"/>
  <c r="N24"/>
  <c r="N17"/>
  <c r="M34" i="17"/>
  <c r="N22" i="18"/>
  <c r="N23"/>
  <c r="M4" i="15"/>
  <c r="N4" i="12"/>
  <c r="N6"/>
  <c r="V13" i="20"/>
  <c r="J32"/>
  <c r="K32"/>
  <c r="L32"/>
  <c r="M32"/>
  <c r="N32"/>
  <c r="O32"/>
  <c r="P32"/>
  <c r="Q32"/>
  <c r="R32"/>
  <c r="S32"/>
  <c r="T32"/>
  <c r="U32"/>
  <c r="W32"/>
  <c r="T14"/>
  <c r="T21"/>
  <c r="T25"/>
  <c r="B26" i="12"/>
  <c r="C26"/>
  <c r="D26"/>
  <c r="E26"/>
  <c r="F26"/>
  <c r="G26"/>
  <c r="H26"/>
  <c r="I26"/>
  <c r="J26"/>
  <c r="K26"/>
  <c r="M26"/>
  <c r="T23" i="20"/>
  <c r="L26" i="12"/>
  <c r="N25" i="19"/>
  <c r="N9" i="8"/>
  <c r="N10"/>
  <c r="N11"/>
  <c r="N24" i="19"/>
  <c r="N23"/>
  <c r="N22"/>
  <c r="G21"/>
  <c r="N21"/>
  <c r="N20"/>
  <c r="N19"/>
  <c r="N18"/>
  <c r="N8" i="8"/>
  <c r="S13" i="20"/>
  <c r="S14"/>
  <c r="S20"/>
  <c r="S21"/>
  <c r="S23"/>
  <c r="S25"/>
  <c r="S27"/>
  <c r="N20" i="18"/>
  <c r="N21"/>
  <c r="N3" i="12"/>
  <c r="N15" i="1"/>
  <c r="N16"/>
  <c r="L6"/>
  <c r="N16" i="13"/>
  <c r="N18"/>
  <c r="N17"/>
  <c r="N53" i="1"/>
  <c r="N19" i="18"/>
  <c r="L13" i="12"/>
  <c r="N13"/>
  <c r="N18" i="18"/>
  <c r="N17"/>
  <c r="N20" i="13"/>
  <c r="N51" i="1"/>
  <c r="N52"/>
  <c r="N50"/>
  <c r="N15" i="18"/>
  <c r="N16"/>
  <c r="L13"/>
  <c r="N13"/>
  <c r="L9"/>
  <c r="N9"/>
  <c r="N8"/>
  <c r="N10"/>
  <c r="N11"/>
  <c r="N12"/>
  <c r="N14"/>
  <c r="N7"/>
  <c r="N27" i="17"/>
  <c r="N28"/>
  <c r="N29"/>
  <c r="N30"/>
  <c r="L31"/>
  <c r="N31"/>
  <c r="N32"/>
  <c r="L34"/>
  <c r="N33"/>
  <c r="N5" i="14"/>
  <c r="N19" i="13"/>
  <c r="N15"/>
  <c r="L36" i="1"/>
  <c r="L11"/>
  <c r="S11" i="20"/>
  <c r="R11"/>
  <c r="K3" i="5"/>
  <c r="K4"/>
  <c r="C17" i="2"/>
  <c r="D17"/>
  <c r="E17"/>
  <c r="F17"/>
  <c r="G17"/>
  <c r="H17"/>
  <c r="I17"/>
  <c r="J17"/>
  <c r="K17"/>
  <c r="L17"/>
  <c r="M17"/>
  <c r="B17"/>
  <c r="N17"/>
  <c r="N15"/>
  <c r="N8" i="13"/>
  <c r="N9"/>
  <c r="K8"/>
  <c r="K12"/>
  <c r="K5" i="18"/>
  <c r="K14" i="19"/>
  <c r="N14"/>
  <c r="J15"/>
  <c r="N15"/>
  <c r="J16"/>
  <c r="N17"/>
  <c r="K14" i="13"/>
  <c r="N14"/>
  <c r="N11" i="19"/>
  <c r="N12"/>
  <c r="N16"/>
  <c r="J13"/>
  <c r="N13"/>
  <c r="N9" i="12"/>
  <c r="N10"/>
  <c r="N4" i="15"/>
  <c r="N5"/>
  <c r="N7" i="1"/>
  <c r="N8"/>
  <c r="N12" i="13"/>
  <c r="N13"/>
  <c r="N42" i="1"/>
  <c r="K5" i="5"/>
  <c r="N49" i="1"/>
  <c r="Q35" i="20"/>
  <c r="R35"/>
  <c r="R14"/>
  <c r="R22"/>
  <c r="V30"/>
  <c r="V28"/>
  <c r="J3" i="7"/>
  <c r="J4" i="5"/>
  <c r="J3"/>
  <c r="N48" i="1"/>
  <c r="Q15" i="20"/>
  <c r="Q20"/>
  <c r="Q21"/>
  <c r="Q22"/>
  <c r="J9" i="17"/>
  <c r="N47" i="1"/>
  <c r="J5" i="18"/>
  <c r="N46" i="1"/>
  <c r="N45"/>
  <c r="J4" i="14"/>
  <c r="N44" i="1"/>
  <c r="N43"/>
  <c r="J8" i="12"/>
  <c r="N41" i="1"/>
  <c r="N40"/>
  <c r="N39"/>
  <c r="J6"/>
  <c r="N38"/>
  <c r="U5" i="20"/>
  <c r="Q11"/>
  <c r="B27" i="19"/>
  <c r="C27"/>
  <c r="D27"/>
  <c r="F27"/>
  <c r="G27"/>
  <c r="I27"/>
  <c r="J27"/>
  <c r="K27"/>
  <c r="L27"/>
  <c r="M27"/>
  <c r="N10"/>
  <c r="N9"/>
  <c r="N26" i="1"/>
  <c r="N5" i="10"/>
  <c r="E35" i="17"/>
  <c r="E3" i="19"/>
  <c r="N3"/>
  <c r="E27"/>
  <c r="I3" i="7"/>
  <c r="I3" i="5"/>
  <c r="N5" i="19"/>
  <c r="H4"/>
  <c r="H27"/>
  <c r="N5" i="5"/>
  <c r="N6" i="19"/>
  <c r="N4"/>
  <c r="U9" i="20"/>
  <c r="U7"/>
  <c r="P35"/>
  <c r="C5" i="6"/>
  <c r="D5"/>
  <c r="E5"/>
  <c r="F5"/>
  <c r="G5"/>
  <c r="H5"/>
  <c r="I5"/>
  <c r="J5"/>
  <c r="Q17" i="20"/>
  <c r="K5" i="6"/>
  <c r="R17" i="20"/>
  <c r="L5" i="6"/>
  <c r="S17" i="20"/>
  <c r="M5" i="6"/>
  <c r="T17" i="20"/>
  <c r="B5" i="6"/>
  <c r="N3"/>
  <c r="I4"/>
  <c r="I4" i="5"/>
  <c r="N9" i="26"/>
  <c r="N11" i="16"/>
  <c r="N20" i="25"/>
  <c r="N27" i="1"/>
  <c r="N28"/>
  <c r="N29"/>
  <c r="N30"/>
  <c r="N31"/>
  <c r="N32"/>
  <c r="N33"/>
  <c r="N34"/>
  <c r="N35"/>
  <c r="I7" i="17"/>
  <c r="N7"/>
  <c r="I6"/>
  <c r="I34"/>
  <c r="N25"/>
  <c r="N26"/>
  <c r="I16" i="12"/>
  <c r="N5" i="18"/>
  <c r="I4"/>
  <c r="N4"/>
  <c r="I11" i="17"/>
  <c r="N37" i="1"/>
  <c r="N36"/>
  <c r="P20" i="20"/>
  <c r="P22"/>
  <c r="N9" i="17"/>
  <c r="N10"/>
  <c r="P11" i="20"/>
  <c r="U8"/>
  <c r="W8"/>
  <c r="O10"/>
  <c r="F3" i="7"/>
  <c r="H3" i="5"/>
  <c r="O35" i="20"/>
  <c r="N35"/>
  <c r="N24" i="18"/>
  <c r="N25"/>
  <c r="N26"/>
  <c r="N27"/>
  <c r="N15" i="14"/>
  <c r="N16"/>
  <c r="N17"/>
  <c r="N18"/>
  <c r="N19"/>
  <c r="N20"/>
  <c r="H11" i="17"/>
  <c r="N21"/>
  <c r="N22"/>
  <c r="N23"/>
  <c r="N24"/>
  <c r="N16"/>
  <c r="N17"/>
  <c r="N18"/>
  <c r="H19"/>
  <c r="H9" i="1"/>
  <c r="N9"/>
  <c r="H10" i="13"/>
  <c r="N10"/>
  <c r="H12" i="1"/>
  <c r="H4" i="3"/>
  <c r="H11" i="14"/>
  <c r="N7" i="19"/>
  <c r="N8"/>
  <c r="C7" i="13"/>
  <c r="N27" i="19"/>
  <c r="N29"/>
  <c r="N25" i="1"/>
  <c r="G6"/>
  <c r="G11"/>
  <c r="N18"/>
  <c r="N19"/>
  <c r="N20"/>
  <c r="N21"/>
  <c r="N22"/>
  <c r="N23"/>
  <c r="N24"/>
  <c r="N54"/>
  <c r="G3" i="5"/>
  <c r="F3"/>
  <c r="G5" i="8"/>
  <c r="G14" i="17"/>
  <c r="G14" i="14"/>
  <c r="G55" i="1"/>
  <c r="G11" i="14"/>
  <c r="E22" i="13"/>
  <c r="F22"/>
  <c r="G22"/>
  <c r="H22"/>
  <c r="I22"/>
  <c r="P24" i="20"/>
  <c r="J22" i="13"/>
  <c r="Q24" i="20"/>
  <c r="K22" i="13"/>
  <c r="R24" i="20"/>
  <c r="L22" i="13"/>
  <c r="S24" i="20"/>
  <c r="M22" i="13"/>
  <c r="T24" i="20"/>
  <c r="E34" i="17"/>
  <c r="N34"/>
  <c r="E4" i="7"/>
  <c r="E5"/>
  <c r="U6" i="20"/>
  <c r="C28" i="18"/>
  <c r="D28"/>
  <c r="E28"/>
  <c r="G28"/>
  <c r="H28"/>
  <c r="I28"/>
  <c r="P29" i="20"/>
  <c r="J28" i="18"/>
  <c r="Q29" i="20"/>
  <c r="K28" i="18"/>
  <c r="R29" i="20"/>
  <c r="L28" i="18"/>
  <c r="S29" i="20"/>
  <c r="M28" i="18"/>
  <c r="T29" i="20"/>
  <c r="C35" i="17"/>
  <c r="D35"/>
  <c r="F35"/>
  <c r="G35"/>
  <c r="H35"/>
  <c r="I35"/>
  <c r="P27" i="20"/>
  <c r="J35" i="17"/>
  <c r="Q27" i="20"/>
  <c r="K35" i="17"/>
  <c r="R27" i="20"/>
  <c r="L35" i="17"/>
  <c r="M35"/>
  <c r="T27" i="20"/>
  <c r="E18" i="25"/>
  <c r="F18"/>
  <c r="G18"/>
  <c r="H18"/>
  <c r="I18"/>
  <c r="J18"/>
  <c r="K18"/>
  <c r="L18"/>
  <c r="M18"/>
  <c r="P23" i="20"/>
  <c r="Q23"/>
  <c r="R23"/>
  <c r="D6" i="11"/>
  <c r="E6"/>
  <c r="F6"/>
  <c r="G6"/>
  <c r="H6"/>
  <c r="I6"/>
  <c r="J6"/>
  <c r="K6"/>
  <c r="L6"/>
  <c r="S22" i="20"/>
  <c r="M6" i="11"/>
  <c r="T22" i="20"/>
  <c r="N5" i="11"/>
  <c r="N4"/>
  <c r="E7" i="10"/>
  <c r="F7"/>
  <c r="G7"/>
  <c r="H7"/>
  <c r="I7"/>
  <c r="P21" i="20"/>
  <c r="J7" i="10"/>
  <c r="K7"/>
  <c r="R21" i="20"/>
  <c r="L7" i="10"/>
  <c r="M7"/>
  <c r="N6"/>
  <c r="N4"/>
  <c r="N7"/>
  <c r="N5" i="9"/>
  <c r="N6"/>
  <c r="N7"/>
  <c r="N8"/>
  <c r="N9"/>
  <c r="N10"/>
  <c r="N4"/>
  <c r="E11"/>
  <c r="F11"/>
  <c r="G11"/>
  <c r="H11"/>
  <c r="I11"/>
  <c r="J11"/>
  <c r="K11"/>
  <c r="R20" i="20"/>
  <c r="L11" i="9"/>
  <c r="M11"/>
  <c r="T20" i="20"/>
  <c r="E13" i="8"/>
  <c r="F13"/>
  <c r="G13"/>
  <c r="H13"/>
  <c r="I13"/>
  <c r="P19" i="20"/>
  <c r="J13" i="8"/>
  <c r="Q19" i="20"/>
  <c r="K13" i="8"/>
  <c r="R19" i="20"/>
  <c r="L13" i="8"/>
  <c r="S19" i="20"/>
  <c r="M13" i="8"/>
  <c r="T19" i="20"/>
  <c r="N3" i="8"/>
  <c r="N4"/>
  <c r="N5"/>
  <c r="N6"/>
  <c r="N7"/>
  <c r="N12"/>
  <c r="F5" i="7"/>
  <c r="G5"/>
  <c r="H5"/>
  <c r="I5"/>
  <c r="J5"/>
  <c r="Q18" i="20"/>
  <c r="K5" i="7"/>
  <c r="R18" i="20"/>
  <c r="L5" i="7"/>
  <c r="S18" i="20"/>
  <c r="F6" i="5"/>
  <c r="G6"/>
  <c r="H6"/>
  <c r="I6"/>
  <c r="J6"/>
  <c r="Q16" i="20"/>
  <c r="K6" i="5"/>
  <c r="R16" i="20"/>
  <c r="L6" i="5"/>
  <c r="S16" i="20"/>
  <c r="M6" i="5"/>
  <c r="T16" i="20"/>
  <c r="P14"/>
  <c r="Q14"/>
  <c r="N6" i="2"/>
  <c r="N7"/>
  <c r="N8"/>
  <c r="N9"/>
  <c r="N10"/>
  <c r="N11"/>
  <c r="N12"/>
  <c r="N13"/>
  <c r="N14"/>
  <c r="E3" i="5"/>
  <c r="E6"/>
  <c r="N8" i="12"/>
  <c r="N11"/>
  <c r="N12"/>
  <c r="N14"/>
  <c r="N15"/>
  <c r="N16"/>
  <c r="N25"/>
  <c r="N7"/>
  <c r="N5" i="3"/>
  <c r="N6"/>
  <c r="N7"/>
  <c r="N4"/>
  <c r="E8"/>
  <c r="F8"/>
  <c r="G8"/>
  <c r="H8"/>
  <c r="I8"/>
  <c r="P15" i="20"/>
  <c r="J8" i="3"/>
  <c r="K8"/>
  <c r="R15" i="20"/>
  <c r="L8" i="3"/>
  <c r="S15" i="20"/>
  <c r="M8" i="3"/>
  <c r="T15" i="20"/>
  <c r="D8" i="3"/>
  <c r="M10" i="20"/>
  <c r="U10"/>
  <c r="N26" i="12"/>
  <c r="N13" i="8"/>
  <c r="P18" i="20"/>
  <c r="P17"/>
  <c r="P16"/>
  <c r="N6" i="11"/>
  <c r="N8"/>
  <c r="N4" i="7"/>
  <c r="F28" i="18"/>
  <c r="N17" i="1"/>
  <c r="U31" i="20"/>
  <c r="N5" i="26"/>
  <c r="N6"/>
  <c r="N4"/>
  <c r="C7"/>
  <c r="J28" i="20"/>
  <c r="D7" i="26"/>
  <c r="K28" i="20"/>
  <c r="E7" i="26"/>
  <c r="L28" i="20"/>
  <c r="F7" i="26"/>
  <c r="M28" i="20"/>
  <c r="G7" i="26"/>
  <c r="H7"/>
  <c r="I7"/>
  <c r="J7"/>
  <c r="K7"/>
  <c r="L7"/>
  <c r="M7"/>
  <c r="B7"/>
  <c r="I28" i="20"/>
  <c r="N9" i="14"/>
  <c r="N10"/>
  <c r="N11"/>
  <c r="N12"/>
  <c r="N13"/>
  <c r="N14"/>
  <c r="N4"/>
  <c r="D21"/>
  <c r="E21"/>
  <c r="F21"/>
  <c r="G21"/>
  <c r="H21"/>
  <c r="I21"/>
  <c r="P25" i="20"/>
  <c r="J21" i="14"/>
  <c r="Q25" i="20"/>
  <c r="K21" i="14"/>
  <c r="R25" i="20"/>
  <c r="L21" i="14"/>
  <c r="M21"/>
  <c r="N13" i="25"/>
  <c r="N14"/>
  <c r="N15"/>
  <c r="N16"/>
  <c r="N17"/>
  <c r="N6"/>
  <c r="N7"/>
  <c r="N12"/>
  <c r="B35" i="17"/>
  <c r="C6" i="11"/>
  <c r="C55" i="1"/>
  <c r="D55"/>
  <c r="E55"/>
  <c r="F55"/>
  <c r="H55"/>
  <c r="I55"/>
  <c r="P13" i="20"/>
  <c r="J55" i="1"/>
  <c r="Q13" i="20"/>
  <c r="K55" i="1"/>
  <c r="R13" i="20"/>
  <c r="L55" i="1"/>
  <c r="M55"/>
  <c r="T13" i="20"/>
  <c r="B55" i="1"/>
  <c r="C11" i="9"/>
  <c r="D11"/>
  <c r="B11"/>
  <c r="U28" i="20"/>
  <c r="N7" i="26"/>
  <c r="M35" i="20"/>
  <c r="L35"/>
  <c r="D18" i="25"/>
  <c r="K35" i="20"/>
  <c r="C18" i="25"/>
  <c r="J35" i="20"/>
  <c r="B18" i="25"/>
  <c r="I35" i="20"/>
  <c r="N11" i="25"/>
  <c r="N10"/>
  <c r="N9"/>
  <c r="N8"/>
  <c r="N5"/>
  <c r="N18"/>
  <c r="U35" i="20"/>
  <c r="W35"/>
  <c r="N4" i="5"/>
  <c r="W28" i="20"/>
  <c r="W31"/>
  <c r="G10"/>
  <c r="V10"/>
  <c r="N7" i="13"/>
  <c r="N11"/>
  <c r="N21"/>
  <c r="O29" i="20"/>
  <c r="O13"/>
  <c r="N22" i="23"/>
  <c r="O22" i="20"/>
  <c r="M22" i="23"/>
  <c r="O11" i="20"/>
  <c r="T32" i="23"/>
  <c r="S32"/>
  <c r="R32"/>
  <c r="Q32"/>
  <c r="P32"/>
  <c r="O32"/>
  <c r="N31"/>
  <c r="J31"/>
  <c r="G31"/>
  <c r="V31"/>
  <c r="N30"/>
  <c r="G30"/>
  <c r="V30"/>
  <c r="N29"/>
  <c r="G29"/>
  <c r="V29"/>
  <c r="J28"/>
  <c r="G28"/>
  <c r="V28"/>
  <c r="G27"/>
  <c r="V27"/>
  <c r="G26"/>
  <c r="V26"/>
  <c r="G25"/>
  <c r="V25"/>
  <c r="F24"/>
  <c r="F32"/>
  <c r="G23"/>
  <c r="V23"/>
  <c r="L22"/>
  <c r="K22"/>
  <c r="J22"/>
  <c r="G22"/>
  <c r="V22"/>
  <c r="G21"/>
  <c r="V21"/>
  <c r="G20"/>
  <c r="V20"/>
  <c r="I19"/>
  <c r="G19"/>
  <c r="V19"/>
  <c r="G18"/>
  <c r="V18"/>
  <c r="G17"/>
  <c r="V17"/>
  <c r="G16"/>
  <c r="V16"/>
  <c r="N15"/>
  <c r="M15"/>
  <c r="L15"/>
  <c r="K15"/>
  <c r="J15"/>
  <c r="I15"/>
  <c r="G15"/>
  <c r="V15"/>
  <c r="G14"/>
  <c r="V14"/>
  <c r="G13"/>
  <c r="V13"/>
  <c r="G12"/>
  <c r="N10"/>
  <c r="M10"/>
  <c r="L10"/>
  <c r="K10"/>
  <c r="J10"/>
  <c r="H10"/>
  <c r="F10"/>
  <c r="V9"/>
  <c r="I9"/>
  <c r="U9"/>
  <c r="W9"/>
  <c r="U8"/>
  <c r="U7"/>
  <c r="I7"/>
  <c r="G7"/>
  <c r="V7"/>
  <c r="U6"/>
  <c r="U5"/>
  <c r="G5"/>
  <c r="L28"/>
  <c r="N29" i="20"/>
  <c r="O25"/>
  <c r="N25" i="23"/>
  <c r="N14"/>
  <c r="O15" i="20"/>
  <c r="K31" i="23"/>
  <c r="L31"/>
  <c r="M31"/>
  <c r="N12"/>
  <c r="N28"/>
  <c r="O27" i="20"/>
  <c r="U15" i="23"/>
  <c r="W15"/>
  <c r="G10"/>
  <c r="V10"/>
  <c r="I10"/>
  <c r="U10"/>
  <c r="W7"/>
  <c r="W10"/>
  <c r="V5"/>
  <c r="W5"/>
  <c r="G24"/>
  <c r="V24"/>
  <c r="V12"/>
  <c r="N27" i="20"/>
  <c r="N25"/>
  <c r="N22"/>
  <c r="N15"/>
  <c r="N13"/>
  <c r="G32" i="23"/>
  <c r="V32"/>
  <c r="N13" i="17"/>
  <c r="N14"/>
  <c r="N15"/>
  <c r="N19"/>
  <c r="O20" i="20"/>
  <c r="N20" i="23"/>
  <c r="N20" i="20"/>
  <c r="N20" i="17"/>
  <c r="M12" i="23"/>
  <c r="M22" i="20"/>
  <c r="D13" i="8"/>
  <c r="L19" i="23"/>
  <c r="M19"/>
  <c r="O19" i="20"/>
  <c r="M11"/>
  <c r="N11"/>
  <c r="N6" i="13"/>
  <c r="K19" i="23"/>
  <c r="N15" i="8"/>
  <c r="M19" i="20"/>
  <c r="N19" i="23"/>
  <c r="N19" i="20"/>
  <c r="W9"/>
  <c r="L27"/>
  <c r="L22"/>
  <c r="L19"/>
  <c r="L13" i="23"/>
  <c r="O14" i="20"/>
  <c r="L11"/>
  <c r="K22"/>
  <c r="K19"/>
  <c r="K11"/>
  <c r="N6" i="18"/>
  <c r="L14" i="20"/>
  <c r="N13" i="23"/>
  <c r="N14" i="20"/>
  <c r="L29"/>
  <c r="L29" i="23"/>
  <c r="M13"/>
  <c r="M14" i="20"/>
  <c r="W10"/>
  <c r="G7"/>
  <c r="V7"/>
  <c r="D7" i="10"/>
  <c r="O21" i="20"/>
  <c r="J11"/>
  <c r="J27"/>
  <c r="J22"/>
  <c r="C6" i="5"/>
  <c r="D6"/>
  <c r="O16" i="20"/>
  <c r="O17"/>
  <c r="C5" i="7"/>
  <c r="D5"/>
  <c r="O18" i="20"/>
  <c r="C7" i="10"/>
  <c r="J21" i="23"/>
  <c r="B7" i="10"/>
  <c r="I21" i="23"/>
  <c r="O23" i="20"/>
  <c r="C22" i="13"/>
  <c r="D22"/>
  <c r="O24" i="20"/>
  <c r="C6" i="15"/>
  <c r="D6"/>
  <c r="E6"/>
  <c r="F6"/>
  <c r="G6"/>
  <c r="H6"/>
  <c r="O26" i="20"/>
  <c r="I6" i="15"/>
  <c r="P26" i="20"/>
  <c r="J6" i="15"/>
  <c r="K6"/>
  <c r="R26" i="20"/>
  <c r="L6" i="15"/>
  <c r="S26" i="20"/>
  <c r="M6" i="15"/>
  <c r="T26" i="20"/>
  <c r="D9" i="16"/>
  <c r="E9"/>
  <c r="F9"/>
  <c r="G9"/>
  <c r="H9"/>
  <c r="I9"/>
  <c r="J9"/>
  <c r="K9"/>
  <c r="L9"/>
  <c r="M9"/>
  <c r="C9"/>
  <c r="Q26" i="20"/>
  <c r="Q33"/>
  <c r="M30" i="23"/>
  <c r="M26" i="20"/>
  <c r="M26" i="23"/>
  <c r="L24" i="20"/>
  <c r="L24" i="23"/>
  <c r="M18"/>
  <c r="M18" i="20"/>
  <c r="M21" i="23"/>
  <c r="M21" i="20"/>
  <c r="L26"/>
  <c r="L26" i="23"/>
  <c r="K24"/>
  <c r="K24" i="20"/>
  <c r="N23"/>
  <c r="N23" i="23"/>
  <c r="K17" i="20"/>
  <c r="K17" i="23"/>
  <c r="J16" i="20"/>
  <c r="J16" i="23"/>
  <c r="J21" i="20"/>
  <c r="L21" i="23"/>
  <c r="L21" i="20"/>
  <c r="L27" i="23"/>
  <c r="K30"/>
  <c r="K26"/>
  <c r="K26" i="20"/>
  <c r="M23"/>
  <c r="M23" i="23"/>
  <c r="K18"/>
  <c r="K18" i="20"/>
  <c r="N17"/>
  <c r="N17" i="23"/>
  <c r="J17" i="20"/>
  <c r="J17" i="23"/>
  <c r="M16"/>
  <c r="M16" i="20"/>
  <c r="K21" i="23"/>
  <c r="K21" i="20"/>
  <c r="I30" i="23"/>
  <c r="K23" i="20"/>
  <c r="K23" i="23"/>
  <c r="L17" i="20"/>
  <c r="L17" i="23"/>
  <c r="K16" i="20"/>
  <c r="K16" i="23"/>
  <c r="J27"/>
  <c r="M27"/>
  <c r="J30"/>
  <c r="J23" i="20"/>
  <c r="J23" i="23"/>
  <c r="L18"/>
  <c r="L18" i="20"/>
  <c r="N16"/>
  <c r="N16" i="23"/>
  <c r="K27"/>
  <c r="L30"/>
  <c r="J26" i="20"/>
  <c r="J26" i="23"/>
  <c r="L23" i="20"/>
  <c r="L23" i="23"/>
  <c r="J18"/>
  <c r="J18" i="20"/>
  <c r="M17"/>
  <c r="M17" i="23"/>
  <c r="L16" i="20"/>
  <c r="L16" i="23"/>
  <c r="N21" i="20"/>
  <c r="N21" i="23"/>
  <c r="J24" i="20"/>
  <c r="J24" i="23"/>
  <c r="M24" i="20"/>
  <c r="M24" i="23"/>
  <c r="N26" i="20"/>
  <c r="N26" i="23"/>
  <c r="N27"/>
  <c r="N18" i="20"/>
  <c r="N18" i="23"/>
  <c r="N24" i="20"/>
  <c r="N24" i="23"/>
  <c r="T31" i="21"/>
  <c r="S33"/>
  <c r="R33"/>
  <c r="Q33"/>
  <c r="P33"/>
  <c r="O33"/>
  <c r="N33"/>
  <c r="M33"/>
  <c r="L33"/>
  <c r="K33"/>
  <c r="J33"/>
  <c r="I33"/>
  <c r="T32"/>
  <c r="G32"/>
  <c r="G31"/>
  <c r="T30"/>
  <c r="G30"/>
  <c r="T29"/>
  <c r="U29"/>
  <c r="G29"/>
  <c r="T28"/>
  <c r="G28"/>
  <c r="T27"/>
  <c r="G27"/>
  <c r="T26"/>
  <c r="G26"/>
  <c r="T25"/>
  <c r="G25"/>
  <c r="T24"/>
  <c r="F24"/>
  <c r="F33"/>
  <c r="T23"/>
  <c r="G23"/>
  <c r="T22"/>
  <c r="G22"/>
  <c r="T21"/>
  <c r="G21"/>
  <c r="T20"/>
  <c r="G20"/>
  <c r="T19"/>
  <c r="U19"/>
  <c r="G19"/>
  <c r="T18"/>
  <c r="G18"/>
  <c r="T17"/>
  <c r="G17"/>
  <c r="T16"/>
  <c r="G16"/>
  <c r="T15"/>
  <c r="G15"/>
  <c r="T14"/>
  <c r="G14"/>
  <c r="T13"/>
  <c r="G13"/>
  <c r="H33"/>
  <c r="G12"/>
  <c r="F10"/>
  <c r="H9"/>
  <c r="T9"/>
  <c r="T8"/>
  <c r="T7"/>
  <c r="T6"/>
  <c r="T5"/>
  <c r="G4"/>
  <c r="G10"/>
  <c r="B9" i="16"/>
  <c r="I21" i="20"/>
  <c r="I19"/>
  <c r="S33"/>
  <c r="R33"/>
  <c r="P33"/>
  <c r="O33"/>
  <c r="G32"/>
  <c r="V32"/>
  <c r="G29"/>
  <c r="V29"/>
  <c r="G27"/>
  <c r="V27"/>
  <c r="G26"/>
  <c r="V26"/>
  <c r="G25"/>
  <c r="V25"/>
  <c r="F33"/>
  <c r="G23"/>
  <c r="V23"/>
  <c r="G22"/>
  <c r="V22"/>
  <c r="G21"/>
  <c r="V21"/>
  <c r="G20"/>
  <c r="V20"/>
  <c r="G19"/>
  <c r="V19"/>
  <c r="G18"/>
  <c r="V18"/>
  <c r="G17"/>
  <c r="V17"/>
  <c r="G16"/>
  <c r="V16"/>
  <c r="G15"/>
  <c r="V15"/>
  <c r="G14"/>
  <c r="V14"/>
  <c r="G13"/>
  <c r="H11"/>
  <c r="F11"/>
  <c r="G5"/>
  <c r="V5"/>
  <c r="V11"/>
  <c r="U21" i="23"/>
  <c r="W21"/>
  <c r="N33" i="20"/>
  <c r="I27" i="23"/>
  <c r="U27"/>
  <c r="W27"/>
  <c r="U30" i="20"/>
  <c r="W30"/>
  <c r="U21"/>
  <c r="W21"/>
  <c r="U30" i="23"/>
  <c r="W30"/>
  <c r="N32"/>
  <c r="W7" i="20"/>
  <c r="G11"/>
  <c r="I11"/>
  <c r="U11"/>
  <c r="U31" i="21"/>
  <c r="U32"/>
  <c r="U27"/>
  <c r="U26"/>
  <c r="U17"/>
  <c r="H10"/>
  <c r="U14"/>
  <c r="U15"/>
  <c r="U13"/>
  <c r="U16"/>
  <c r="U18"/>
  <c r="U20"/>
  <c r="U21"/>
  <c r="U22"/>
  <c r="U25"/>
  <c r="U23"/>
  <c r="U28"/>
  <c r="U30"/>
  <c r="T4"/>
  <c r="T10"/>
  <c r="T12"/>
  <c r="G24"/>
  <c r="U24"/>
  <c r="G24" i="20"/>
  <c r="V24"/>
  <c r="V33"/>
  <c r="W5"/>
  <c r="W11"/>
  <c r="G33"/>
  <c r="G33" i="21"/>
  <c r="T33"/>
  <c r="U12"/>
  <c r="U33"/>
  <c r="B6" i="15"/>
  <c r="B6" i="11"/>
  <c r="B6" i="5"/>
  <c r="B5" i="7"/>
  <c r="N3" i="18"/>
  <c r="N28"/>
  <c r="N12" i="17"/>
  <c r="N11"/>
  <c r="N8"/>
  <c r="N6"/>
  <c r="N5"/>
  <c r="N4"/>
  <c r="N5" i="16"/>
  <c r="N9"/>
  <c r="N6" i="15"/>
  <c r="N8"/>
  <c r="N8" i="14"/>
  <c r="N7"/>
  <c r="N6"/>
  <c r="N5" i="13"/>
  <c r="N9" i="10"/>
  <c r="N11" i="9"/>
  <c r="N13"/>
  <c r="N4" i="6"/>
  <c r="N3" i="5"/>
  <c r="N6"/>
  <c r="N8"/>
  <c r="N8" i="3"/>
  <c r="N5" i="2"/>
  <c r="N19"/>
  <c r="N14" i="1"/>
  <c r="N13"/>
  <c r="N12"/>
  <c r="N11"/>
  <c r="N10"/>
  <c r="N6"/>
  <c r="N5"/>
  <c r="N4"/>
  <c r="M13" i="20"/>
  <c r="C8" i="3"/>
  <c r="C21" i="14"/>
  <c r="B28" i="18"/>
  <c r="B21" i="14"/>
  <c r="B22" i="13"/>
  <c r="I20" i="23"/>
  <c r="B8" i="3"/>
  <c r="N5" i="6"/>
  <c r="N7"/>
  <c r="N55" i="1"/>
  <c r="N57"/>
  <c r="N10" i="3"/>
  <c r="N21" i="14"/>
  <c r="N23"/>
  <c r="N22" i="13"/>
  <c r="N24"/>
  <c r="N30" i="18"/>
  <c r="I27" i="20"/>
  <c r="I28" i="23"/>
  <c r="I23" i="20"/>
  <c r="U23"/>
  <c r="W23"/>
  <c r="I23" i="23"/>
  <c r="U23"/>
  <c r="W23"/>
  <c r="I14" i="20"/>
  <c r="I13" i="23"/>
  <c r="I31"/>
  <c r="U31"/>
  <c r="W31"/>
  <c r="K13"/>
  <c r="K14" i="20"/>
  <c r="L25" i="23"/>
  <c r="L25" i="20"/>
  <c r="I15"/>
  <c r="I14" i="23"/>
  <c r="J29" i="20"/>
  <c r="J29" i="23"/>
  <c r="K14"/>
  <c r="K15" i="20"/>
  <c r="K28" i="23"/>
  <c r="K27" i="20"/>
  <c r="I16"/>
  <c r="U16"/>
  <c r="W16"/>
  <c r="I16" i="23"/>
  <c r="U16"/>
  <c r="W16"/>
  <c r="J13" i="20"/>
  <c r="J12" i="23"/>
  <c r="L15" i="20"/>
  <c r="L14" i="23"/>
  <c r="M20"/>
  <c r="M20" i="20"/>
  <c r="I17"/>
  <c r="U17"/>
  <c r="W17"/>
  <c r="I17" i="23"/>
  <c r="U17"/>
  <c r="W17"/>
  <c r="I24" i="20"/>
  <c r="U24"/>
  <c r="W24"/>
  <c r="I24" i="23"/>
  <c r="U24"/>
  <c r="W24"/>
  <c r="J19"/>
  <c r="U19"/>
  <c r="W19"/>
  <c r="J19" i="20"/>
  <c r="U19"/>
  <c r="W19"/>
  <c r="K25" i="23"/>
  <c r="K25" i="20"/>
  <c r="L13"/>
  <c r="L12" i="23"/>
  <c r="I25" i="20"/>
  <c r="I25" i="23"/>
  <c r="J14" i="20"/>
  <c r="J13" i="23"/>
  <c r="L20"/>
  <c r="L20" i="20"/>
  <c r="M27"/>
  <c r="M28" i="23"/>
  <c r="M29" i="20"/>
  <c r="M29" i="23"/>
  <c r="J25" i="20"/>
  <c r="J25" i="23"/>
  <c r="J15" i="20"/>
  <c r="J14" i="23"/>
  <c r="K29"/>
  <c r="K29" i="20"/>
  <c r="I13"/>
  <c r="I12" i="23"/>
  <c r="I29" i="20"/>
  <c r="I29" i="23"/>
  <c r="J20" i="20"/>
  <c r="J20" i="23"/>
  <c r="K13" i="20"/>
  <c r="K12" i="23"/>
  <c r="K20"/>
  <c r="K20" i="20"/>
  <c r="I18"/>
  <c r="I18" i="23"/>
  <c r="U18"/>
  <c r="W18"/>
  <c r="I22"/>
  <c r="U22"/>
  <c r="W22"/>
  <c r="I22" i="20"/>
  <c r="U22"/>
  <c r="W22"/>
  <c r="I26" i="23"/>
  <c r="U26"/>
  <c r="W26"/>
  <c r="I26" i="20"/>
  <c r="U26"/>
  <c r="W26"/>
  <c r="M15"/>
  <c r="M14" i="23"/>
  <c r="M25" i="20"/>
  <c r="M25" i="23"/>
  <c r="N28" i="12"/>
  <c r="I20" i="20"/>
  <c r="N35" i="17"/>
  <c r="N37"/>
  <c r="M33" i="20"/>
  <c r="L32" i="23"/>
  <c r="U15" i="20"/>
  <c r="W15"/>
  <c r="K32" i="23"/>
  <c r="U29"/>
  <c r="W29"/>
  <c r="U20"/>
  <c r="W20"/>
  <c r="U20" i="20"/>
  <c r="W20"/>
  <c r="J33"/>
  <c r="U29"/>
  <c r="W29"/>
  <c r="K33"/>
  <c r="U25"/>
  <c r="W25"/>
  <c r="L33"/>
  <c r="U13"/>
  <c r="W13"/>
  <c r="U14" i="23"/>
  <c r="W14"/>
  <c r="I32"/>
  <c r="U12"/>
  <c r="W12"/>
  <c r="U13"/>
  <c r="W13"/>
  <c r="U28"/>
  <c r="W28"/>
  <c r="J32"/>
  <c r="U14" i="20"/>
  <c r="W14"/>
  <c r="U27"/>
  <c r="W27"/>
  <c r="U25" i="23"/>
  <c r="M32"/>
  <c r="I33" i="20"/>
  <c r="W25" i="23"/>
  <c r="W32"/>
  <c r="U32"/>
  <c r="M5" i="7"/>
  <c r="T18" i="20"/>
  <c r="T33"/>
  <c r="N3" i="7"/>
  <c r="N5"/>
  <c r="N7"/>
  <c r="U18" i="20"/>
  <c r="W18"/>
  <c r="W33"/>
  <c r="U33"/>
</calcChain>
</file>

<file path=xl/comments1.xml><?xml version="1.0" encoding="utf-8"?>
<comments xmlns="http://schemas.openxmlformats.org/spreadsheetml/2006/main">
  <authors>
    <author>людмила</author>
  </authors>
  <commentList>
    <comment ref="E6" authorId="0">
      <text>
        <r>
          <rPr>
            <sz val="8"/>
            <color indexed="81"/>
            <rFont val="Tahoma"/>
            <family val="2"/>
            <charset val="204"/>
          </rPr>
          <t xml:space="preserve">Нина: затраты делим с Согл. 2
</t>
        </r>
      </text>
    </comment>
  </commentList>
</comments>
</file>

<file path=xl/sharedStrings.xml><?xml version="1.0" encoding="utf-8"?>
<sst xmlns="http://schemas.openxmlformats.org/spreadsheetml/2006/main" count="724" uniqueCount="335">
  <si>
    <t>Общехозяйственные расходы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</si>
  <si>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</si>
  <si>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</si>
  <si>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</si>
  <si>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</si>
  <si>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</si>
  <si>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</si>
  <si>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</si>
  <si>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</si>
  <si>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</si>
  <si>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</si>
  <si>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</si>
  <si>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</si>
  <si>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 xml:space="preserve">Обслуж банка </t>
  </si>
  <si>
    <t>Содерж офиса</t>
  </si>
  <si>
    <t>Транспортн налог</t>
  </si>
  <si>
    <t>Обслуж ККМ</t>
  </si>
  <si>
    <t>Обсл  LADA LARGUS</t>
  </si>
  <si>
    <t>ИТОГО</t>
  </si>
  <si>
    <t>Программное обеспечение</t>
  </si>
  <si>
    <t>Сопровожд програм</t>
  </si>
  <si>
    <t>Консультант</t>
  </si>
  <si>
    <t>Услуги связи</t>
  </si>
  <si>
    <t>Юридические услуги</t>
  </si>
  <si>
    <t>Заработная плата</t>
  </si>
  <si>
    <t>Премиальный фонд</t>
  </si>
  <si>
    <t>Налог с ФОТ</t>
  </si>
  <si>
    <t>Приобретение инструментов и хоз инвентаря</t>
  </si>
  <si>
    <t>Вывоз мусора</t>
  </si>
  <si>
    <t>Налог за негативное</t>
  </si>
  <si>
    <t>возд на окруж среду</t>
  </si>
  <si>
    <t>Оформление техотч</t>
  </si>
  <si>
    <t>Содержание охраны</t>
  </si>
  <si>
    <t>Содержание</t>
  </si>
  <si>
    <t>Содержание газового оборудования</t>
  </si>
  <si>
    <t>газового оборудов</t>
  </si>
  <si>
    <t>Содержание сетей водоснабжения</t>
  </si>
  <si>
    <t>Водный налог</t>
  </si>
  <si>
    <t>Содержание сетей канализации</t>
  </si>
  <si>
    <t>по вывозу с КНС</t>
  </si>
  <si>
    <t>Лампы, светильник</t>
  </si>
  <si>
    <t>Автомат, рубильник</t>
  </si>
  <si>
    <t>Провода, кабель</t>
  </si>
  <si>
    <t>Электроэнергия на общие нужды</t>
  </si>
  <si>
    <t>Технические и коммерческие потери</t>
  </si>
  <si>
    <t xml:space="preserve">Технические и </t>
  </si>
  <si>
    <t>Недоплата жителями</t>
  </si>
  <si>
    <t>за потр э/энергию</t>
  </si>
  <si>
    <t>Содержание дорог и уборка территории</t>
  </si>
  <si>
    <t>Дт и Аи 80</t>
  </si>
  <si>
    <t>трансп налог</t>
  </si>
  <si>
    <t xml:space="preserve">Благоустройство территории </t>
  </si>
  <si>
    <t>Бензин АИ 92</t>
  </si>
  <si>
    <t>Резервный фонд</t>
  </si>
  <si>
    <t>Бензин Аи-95</t>
  </si>
  <si>
    <t>ПАО МТС</t>
  </si>
  <si>
    <t>ОСАГО ЗИЛ</t>
  </si>
  <si>
    <t>Спецодежда</t>
  </si>
  <si>
    <t>на 2015-2016 год</t>
  </si>
  <si>
    <t>Аренда экскаватора</t>
  </si>
  <si>
    <t>Настройка сервиса "Отчетность"</t>
  </si>
  <si>
    <t>Канцелярские товары</t>
  </si>
  <si>
    <t>Услуги сторон. орган</t>
  </si>
  <si>
    <t>Возмещ. "Соглас.2" расходов на контроль эффективности. обеззараж.сточн. вод</t>
  </si>
  <si>
    <t>ПАО  МГТС</t>
  </si>
  <si>
    <t>коммерческие потери</t>
  </si>
  <si>
    <t xml:space="preserve">  Статья поступления денежных средств</t>
  </si>
  <si>
    <t>Ост денег</t>
  </si>
  <si>
    <t xml:space="preserve">итого с </t>
  </si>
  <si>
    <t>Поступление денеж средств от сбора член взноса</t>
  </si>
  <si>
    <t>ЦФ вступительный  взнос новых членов</t>
  </si>
  <si>
    <t>ЦФ Взнос на содержание дорог (оплата въезда)</t>
  </si>
  <si>
    <t>ЦФ взнос на реконструкцию газопровода</t>
  </si>
  <si>
    <t>Пени за несвоевр уплату член взносов+ штраф</t>
  </si>
  <si>
    <t>Коммерч деятельн +договора на обслуживание</t>
  </si>
  <si>
    <t xml:space="preserve">      ИТОГО</t>
  </si>
  <si>
    <t xml:space="preserve">   Расходная часть финансового плана по статьям (использование член взносов)</t>
  </si>
  <si>
    <t>экономия</t>
  </si>
  <si>
    <t>Заработная плата    (15 человек)</t>
  </si>
  <si>
    <t>Приобретение инструмент, инвентарь,оборуд</t>
  </si>
  <si>
    <t>Содержание сетей канализ. и рем.очист. сооруж.</t>
  </si>
  <si>
    <t>Содержание сетей электроснабжения</t>
  </si>
  <si>
    <t>Э/энергия на общие нужды</t>
  </si>
  <si>
    <t>Резерв оборот ср-в на покрытие несвоеврем опл</t>
  </si>
  <si>
    <t>Благоустройство территории</t>
  </si>
  <si>
    <t>Оформление земель общего пользования</t>
  </si>
  <si>
    <t>Резервный фонд 5%</t>
  </si>
  <si>
    <t xml:space="preserve"> ИТОГО РАСХОДЫ</t>
  </si>
  <si>
    <t xml:space="preserve"> 01.06.16</t>
  </si>
  <si>
    <t xml:space="preserve">Исполнение финансового плана за период с июня 2016 по май  2017 года </t>
  </si>
  <si>
    <t>Финансовый план ДНТ "КП"Согласие" на 2016-2017 гг</t>
  </si>
  <si>
    <t>Бюджет на 2016/2017 гг.Лимит на</t>
  </si>
  <si>
    <t xml:space="preserve">Месячный </t>
  </si>
  <si>
    <t>бюджет</t>
  </si>
  <si>
    <t>Фактически</t>
  </si>
  <si>
    <t xml:space="preserve">Исполнение финансового плана ДНТ "КП "Согласие" за период с июня 2016 по май  2017 года </t>
  </si>
  <si>
    <t>Статьи расходования денежных средств</t>
  </si>
  <si>
    <t>Статьи поступления денежных средств</t>
  </si>
  <si>
    <t xml:space="preserve">      ИТОГО ВЗНОСЫ И ДОХОДЫ</t>
  </si>
  <si>
    <t xml:space="preserve">     ИТОГО РАСХОДЫ</t>
  </si>
  <si>
    <t>Прогр.обеспеч. "Office 365"</t>
  </si>
  <si>
    <t>ИТОГО:</t>
  </si>
  <si>
    <t>Аренда манипулятора</t>
  </si>
  <si>
    <t>Продление  антивирусн.прогр.</t>
  </si>
  <si>
    <t>Материалы для авар. раб. по рем.водопр.</t>
  </si>
  <si>
    <t>Материалы для ремонта в помещ. ОС</t>
  </si>
  <si>
    <t>Пени за несв. уплату член взн.+ штраф</t>
  </si>
  <si>
    <t>Содерж. сетей канализ. и ремонт ОС</t>
  </si>
  <si>
    <t>Недобор(-) Перевыполн.(+)</t>
  </si>
  <si>
    <t>Экономия(+)    Перерасход(-)</t>
  </si>
  <si>
    <t>Коммерч деят. +договора на обслуж.</t>
  </si>
  <si>
    <t>ЦФ взнос на содерж. дор. (опл.въезда)</t>
  </si>
  <si>
    <t>ЦФ вступит.  взнос новых членов</t>
  </si>
  <si>
    <t>Поступл. ден ср. от сбора член. взнос.</t>
  </si>
  <si>
    <t>Приобрет. инструмент, инвент.,оборуд</t>
  </si>
  <si>
    <t>Оформление земель общего польз.</t>
  </si>
  <si>
    <t>Содержание дорог и уборка территор.</t>
  </si>
  <si>
    <t>Лимит на год</t>
  </si>
  <si>
    <t>Выплата премий сотрудникам</t>
  </si>
  <si>
    <t>КОММЕНТАРИИ к статьям с перерасходом:</t>
  </si>
  <si>
    <t>ВЫВОЗ МУСОРА:</t>
  </si>
  <si>
    <t xml:space="preserve">Запчасти для трактора Белорус </t>
  </si>
  <si>
    <t>Оформл.ЭЦПв ООО "ТЕНЗОР"</t>
  </si>
  <si>
    <t>ИДН (лежачие "полицейские")</t>
  </si>
  <si>
    <t>Песок карьерный</t>
  </si>
  <si>
    <t>Бюджет          за 6 мес.</t>
  </si>
  <si>
    <t>Итого за 6 мес.</t>
  </si>
  <si>
    <t>Перерасход в июле связан с уплатой налога на негативное возд. на окруж среду за 2 кв. в сумме 80610 руб. и запретом на вывоз мусора в лес</t>
  </si>
  <si>
    <t>Лимит на месяц</t>
  </si>
  <si>
    <t>Заработная плата    (12 человек)</t>
  </si>
  <si>
    <t>Социальн. налоги с Фонда поощр. ПП</t>
  </si>
  <si>
    <t>Фонд поощрения ПП</t>
  </si>
  <si>
    <t>Ямочный ремонт дорог</t>
  </si>
  <si>
    <t>2018-2019 гг</t>
  </si>
  <si>
    <t>Совмещение и сверхурочные</t>
  </si>
  <si>
    <t>Материалы для ремонта водопровода</t>
  </si>
  <si>
    <t>Оплата подряда за работы по ремонту водопровода ( включ. налоги)</t>
  </si>
  <si>
    <t>Выплата премии за работы по ремонту водопровода (включ.налоги)</t>
  </si>
  <si>
    <t>2018-2019 гг.</t>
  </si>
  <si>
    <t>АУПС</t>
  </si>
  <si>
    <t>Интернет</t>
  </si>
  <si>
    <t>Телефоны</t>
  </si>
  <si>
    <t>Пресс- контейнер</t>
  </si>
  <si>
    <t>Доставка труб</t>
  </si>
  <si>
    <t xml:space="preserve">Ремонт водопровода ("Партнер") </t>
  </si>
  <si>
    <t xml:space="preserve">Материалы для ремонта водопровода </t>
  </si>
  <si>
    <t>Материалы для ремонта водопр.</t>
  </si>
  <si>
    <t>Зеркало дорожное</t>
  </si>
  <si>
    <t>Договор подряда</t>
  </si>
  <si>
    <t>(ИП Карапетян)</t>
  </si>
  <si>
    <t>Прожектор на КПП3</t>
  </si>
  <si>
    <t>Доставка материалов</t>
  </si>
  <si>
    <t>Нотариальные услуги</t>
  </si>
  <si>
    <t>Сведения из реестра</t>
  </si>
  <si>
    <t>Почтовые расходы</t>
  </si>
  <si>
    <t>РСИЦ</t>
  </si>
  <si>
    <t xml:space="preserve">Ремонт водопровода в лесном массиве (закольцовка) </t>
  </si>
  <si>
    <t>Налог с дохода</t>
  </si>
  <si>
    <t>ТО тракторов (госпошлина)</t>
  </si>
  <si>
    <t>Страховка</t>
  </si>
  <si>
    <t>СБИС Эл. Сдача отчетности</t>
  </si>
  <si>
    <t>Анализ воды</t>
  </si>
  <si>
    <t>Тракторный прицеп</t>
  </si>
  <si>
    <t>Фотореле</t>
  </si>
  <si>
    <t>Мастика</t>
  </si>
  <si>
    <t>Маршрутизатор</t>
  </si>
  <si>
    <t>Курвиметр (дорожное колесо)</t>
  </si>
  <si>
    <t>Трубы, муфты (ливневка)</t>
  </si>
  <si>
    <t>Монтаж трубопровода</t>
  </si>
  <si>
    <t>Скребок</t>
  </si>
  <si>
    <t>Набор для ТО</t>
  </si>
  <si>
    <t>Зарядное устройство</t>
  </si>
  <si>
    <t>Биоактиватор</t>
  </si>
  <si>
    <t>Система въезда Авто-СКУД</t>
  </si>
  <si>
    <t>Монтаж кабеля на детскую площадку</t>
  </si>
  <si>
    <t>Гидроизол для ливневки</t>
  </si>
  <si>
    <t>Эл.подпись</t>
  </si>
  <si>
    <t>Замена кранов на водозаборе</t>
  </si>
  <si>
    <t>Сопровождение  1С бухгалтерия</t>
  </si>
  <si>
    <t>1С 8.3 на 2 компьютера</t>
  </si>
  <si>
    <t>УСН 6%</t>
  </si>
  <si>
    <t>Пени, штрафы</t>
  </si>
  <si>
    <t>Аи 92</t>
  </si>
  <si>
    <t>Бензин АИ 95</t>
  </si>
  <si>
    <t>Бензин Аи 92</t>
  </si>
  <si>
    <t>Договор подряда с рабочими</t>
  </si>
  <si>
    <t>Омыватель</t>
  </si>
  <si>
    <t>Ограждение кардана</t>
  </si>
  <si>
    <t>Пускозарядное устройство</t>
  </si>
  <si>
    <t>Лампы</t>
  </si>
  <si>
    <t>утилизация ламп</t>
  </si>
  <si>
    <t>Ремонт интернета</t>
  </si>
  <si>
    <t>Ремонт насоса</t>
  </si>
  <si>
    <t>ГСМ</t>
  </si>
  <si>
    <t>Трос</t>
  </si>
  <si>
    <t>Колеса для кресла</t>
  </si>
  <si>
    <t>Крепление для РКУ</t>
  </si>
  <si>
    <t>Трубы гофр</t>
  </si>
  <si>
    <t>Диз.топливо</t>
  </si>
  <si>
    <t>Винт, шплинт д/трактора</t>
  </si>
  <si>
    <t>Лопаты</t>
  </si>
  <si>
    <t>Скапер д/уборки снега</t>
  </si>
  <si>
    <t>Windows, офис на 4 компьютера</t>
  </si>
  <si>
    <t>Установка п/о, модернизация</t>
  </si>
  <si>
    <t>Шнекоротор</t>
  </si>
  <si>
    <t>Светильники</t>
  </si>
  <si>
    <t>Провода</t>
  </si>
  <si>
    <t xml:space="preserve">Шнекоротор доставка </t>
  </si>
  <si>
    <t>Кресло касса</t>
  </si>
  <si>
    <t>Ведро</t>
  </si>
  <si>
    <t>з/ч для компьютера</t>
  </si>
  <si>
    <t>Материалы для ремонта</t>
  </si>
  <si>
    <t>Изготовление печати</t>
  </si>
  <si>
    <t>Трансформатор</t>
  </si>
  <si>
    <t>Автовышка</t>
  </si>
  <si>
    <t>Олрайт литол</t>
  </si>
  <si>
    <t>Колесо бльшегрузное</t>
  </si>
  <si>
    <t>Эл.гирлянда</t>
  </si>
  <si>
    <t>Муфта</t>
  </si>
  <si>
    <t>Клемная колодка</t>
  </si>
  <si>
    <t>Цемент 50 кг</t>
  </si>
  <si>
    <t>УЗО</t>
  </si>
  <si>
    <t>Крепление столбовое</t>
  </si>
  <si>
    <t>Зажим ответв.</t>
  </si>
  <si>
    <t>Газ пропан</t>
  </si>
  <si>
    <t>Электрод</t>
  </si>
  <si>
    <t>Диск отрезной</t>
  </si>
  <si>
    <t>Уровень</t>
  </si>
  <si>
    <t>Подарки (конфеты)</t>
  </si>
  <si>
    <t>Доставка колеса</t>
  </si>
  <si>
    <t>% за депозит</t>
  </si>
  <si>
    <t>Налоги в   ПФР, ФСС ФФОМС</t>
  </si>
  <si>
    <t>Карты въезда</t>
  </si>
  <si>
    <t>Откачка МТК</t>
  </si>
  <si>
    <t>Рождественская елка</t>
  </si>
  <si>
    <t>Запчасти для шнекоротора</t>
  </si>
  <si>
    <t>Насос</t>
  </si>
  <si>
    <t>ОСАГО трактор</t>
  </si>
  <si>
    <t>Юрист суд Мосэнерго</t>
  </si>
  <si>
    <t>Парковка суд мосэнерго</t>
  </si>
  <si>
    <t>Печать карт</t>
  </si>
  <si>
    <t>Дт</t>
  </si>
  <si>
    <t>Материалы для ремонта водопр. и изготовления защитного ограждения</t>
  </si>
  <si>
    <t>Доставка СДЭК</t>
  </si>
  <si>
    <t>Сверло по мет.</t>
  </si>
  <si>
    <t>Болт, шайба, гайка</t>
  </si>
  <si>
    <t>Переработка</t>
  </si>
  <si>
    <t>Выезд мастера в августе Интерлогика</t>
  </si>
  <si>
    <t>Хомуты ремонтные</t>
  </si>
  <si>
    <t>Таблички на КПП</t>
  </si>
  <si>
    <t>Посуда Масленица</t>
  </si>
  <si>
    <t>Чучело Масленица</t>
  </si>
  <si>
    <t>Аренда зала для собрания</t>
  </si>
  <si>
    <t>Блины</t>
  </si>
  <si>
    <t>Флаги</t>
  </si>
  <si>
    <t>Защитные рукавицы</t>
  </si>
  <si>
    <t>Доставка СДЭК карт въезда</t>
  </si>
  <si>
    <t>Замок навесной</t>
  </si>
  <si>
    <t>Изготовление ключей</t>
  </si>
  <si>
    <t>Смартфон, МФУ</t>
  </si>
  <si>
    <t>10089- б/лист</t>
  </si>
  <si>
    <t>Печать пропусков</t>
  </si>
  <si>
    <t>Печать и ламинирование объявлений</t>
  </si>
  <si>
    <t>Лист горячекатанный</t>
  </si>
  <si>
    <t>Скамейки</t>
  </si>
  <si>
    <t>Аренда крана</t>
  </si>
  <si>
    <t>Смартфоны для охраны</t>
  </si>
  <si>
    <t>Прочистная спираль</t>
  </si>
  <si>
    <t>Страховка  LADA LARGUS</t>
  </si>
  <si>
    <t>Насос подкачки топлива</t>
  </si>
  <si>
    <t>Штуцеры, уголок, резьба д/сварки</t>
  </si>
  <si>
    <t>Жидкость для розжига</t>
  </si>
  <si>
    <t>Продукты и сувениры масленица</t>
  </si>
  <si>
    <t>Отвод, ж/стекло, пена, муфта,кисть, заглушка, пескобетон</t>
  </si>
  <si>
    <t>Программа рассылки</t>
  </si>
  <si>
    <t>Объявления</t>
  </si>
  <si>
    <t>Цемент</t>
  </si>
  <si>
    <t>Труба</t>
  </si>
  <si>
    <t>Изолента</t>
  </si>
  <si>
    <t>Аэрозоль</t>
  </si>
  <si>
    <t>Шланг топливный</t>
  </si>
  <si>
    <t>Круг отрезной</t>
  </si>
  <si>
    <t>Хомут</t>
  </si>
  <si>
    <t>Черенок</t>
  </si>
  <si>
    <t>Грабли веерные</t>
  </si>
  <si>
    <t>Щиподробильная машина (ножи)</t>
  </si>
  <si>
    <t>Эмаль</t>
  </si>
  <si>
    <t>Грунтовка</t>
  </si>
  <si>
    <t>Краска белая</t>
  </si>
  <si>
    <t>Краска садовая</t>
  </si>
  <si>
    <t>Кисти</t>
  </si>
  <si>
    <t>Уайт спирит</t>
  </si>
  <si>
    <t>Кузбасс-лак</t>
  </si>
  <si>
    <t>Электроды</t>
  </si>
  <si>
    <t>Личинка</t>
  </si>
  <si>
    <t>Топор</t>
  </si>
  <si>
    <t>Замок висячий</t>
  </si>
  <si>
    <t>Хомуты</t>
  </si>
  <si>
    <t>Бензотриммер</t>
  </si>
  <si>
    <t>Мотобур</t>
  </si>
  <si>
    <t>Карусель Солнышко</t>
  </si>
  <si>
    <t>Экспертиза башни</t>
  </si>
  <si>
    <t>Комплекс Горка</t>
  </si>
  <si>
    <t>Подшипниковый узел</t>
  </si>
  <si>
    <t>Техн.работы на сайте</t>
  </si>
  <si>
    <t>Видеодиагностика</t>
  </si>
  <si>
    <t>Промывка</t>
  </si>
  <si>
    <t>Удаление дерева</t>
  </si>
  <si>
    <t>Почвогрунт</t>
  </si>
  <si>
    <t>Госпошлина (устав)</t>
  </si>
  <si>
    <t>Паспорта скважин</t>
  </si>
  <si>
    <t>Щебень, песок</t>
  </si>
  <si>
    <t>Профтруба и профнастил</t>
  </si>
  <si>
    <t>Ручка тормоза бензопила</t>
  </si>
  <si>
    <t>Цепь бензопила</t>
  </si>
  <si>
    <t>Ворота 4 очереди</t>
  </si>
  <si>
    <t>Ворота 1-3 очереди</t>
  </si>
  <si>
    <t xml:space="preserve">Исполнение финансового плана ДНТ "КП "Согласие" за период с июня 2018 по май 2019 года </t>
  </si>
  <si>
    <t>Бюджет          за 12 мес.</t>
  </si>
  <si>
    <t>Инженерно-геодезические испытания</t>
  </si>
  <si>
    <t>Газон</t>
  </si>
  <si>
    <t>Набор инструментов</t>
  </si>
  <si>
    <t>Кадастровые работы</t>
  </si>
  <si>
    <t>Гильза соеденительная</t>
  </si>
  <si>
    <t>Термоусадка с клеем 16/4</t>
  </si>
  <si>
    <t>Термоусадка с клеем 12/3</t>
  </si>
  <si>
    <t>Зажим для троса</t>
  </si>
  <si>
    <t>Резьба для сварки</t>
  </si>
  <si>
    <t>Трос нержавеющий</t>
  </si>
  <si>
    <t>Муфта ПНД</t>
  </si>
  <si>
    <t>Труба ПНД</t>
  </si>
  <si>
    <t>Суд</t>
  </si>
  <si>
    <t>май- прогноз</t>
  </si>
  <si>
    <t>Вода,ящик д/голосования</t>
  </si>
  <si>
    <t>Итого за 12 мес.-прогноз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</si>
</sst>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3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i/>
      <sz val="11"/>
      <color indexed="17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i/>
      <sz val="12"/>
      <color indexed="8"/>
      <name val="Calibri"/>
      <family val="2"/>
      <charset val="204"/>
    </font>
    <font>
      <b/>
      <sz val="14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color indexed="8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11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23"/>
      <name val="Arial"/>
      <family val="2"/>
      <charset val="204"/>
    </font>
    <font>
      <sz val="11"/>
      <color indexed="10"/>
      <name val="Arial"/>
      <family val="2"/>
      <charset val="204"/>
    </font>
    <font>
      <sz val="8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8" fillId="0" borderId="0" applyFont="0" applyFill="0" applyBorder="0" applyAlignment="0" applyProtection="0"/>
  </cellStyleXfs>
  <cellXfs count="368">
    <xf numFmtId="0" fontId="0" fillId="0" borderId="0" xfId="0"/>
    <xf numFmtId="0" fontId="1" fillId="0" borderId="0" xfId="1"/>
    <xf numFmtId="0" fontId="1" fillId="0" borderId="1" xfId="1" applyBorder="1"/>
    <xf numFmtId="0" fontId="1" fillId="0" borderId="2" xfId="1" applyFill="1" applyBorder="1"/>
    <xf numFmtId="0" fontId="3" fillId="0" borderId="1" xfId="1" applyFont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1" fillId="0" borderId="5" xfId="1" applyFont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1" fillId="0" borderId="8" xfId="1" applyBorder="1"/>
    <xf numFmtId="0" fontId="1" fillId="0" borderId="9" xfId="1" applyBorder="1"/>
    <xf numFmtId="0" fontId="1" fillId="0" borderId="10" xfId="1" applyBorder="1"/>
    <xf numFmtId="0" fontId="1" fillId="0" borderId="0" xfId="1" applyFill="1" applyBorder="1"/>
    <xf numFmtId="0" fontId="1" fillId="0" borderId="10" xfId="1" applyFont="1" applyBorder="1"/>
    <xf numFmtId="0" fontId="1" fillId="0" borderId="9" xfId="1" applyFont="1" applyBorder="1"/>
    <xf numFmtId="0" fontId="1" fillId="0" borderId="4" xfId="1" applyFont="1" applyBorder="1"/>
    <xf numFmtId="0" fontId="1" fillId="0" borderId="1" xfId="1" applyFill="1" applyBorder="1"/>
    <xf numFmtId="0" fontId="2" fillId="0" borderId="1" xfId="1" applyFont="1" applyBorder="1"/>
    <xf numFmtId="0" fontId="1" fillId="0" borderId="11" xfId="1" applyBorder="1"/>
    <xf numFmtId="0" fontId="1" fillId="0" borderId="12" xfId="1" applyBorder="1"/>
    <xf numFmtId="0" fontId="1" fillId="0" borderId="13" xfId="1" applyBorder="1"/>
    <xf numFmtId="0" fontId="1" fillId="0" borderId="13" xfId="1" applyFont="1" applyBorder="1"/>
    <xf numFmtId="0" fontId="1" fillId="0" borderId="12" xfId="1" applyFont="1" applyBorder="1"/>
    <xf numFmtId="0" fontId="0" fillId="0" borderId="9" xfId="0" applyBorder="1"/>
    <xf numFmtId="0" fontId="1" fillId="0" borderId="9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8" xfId="1" applyBorder="1" applyAlignment="1">
      <alignment horizontal="center"/>
    </xf>
    <xf numFmtId="0" fontId="1" fillId="0" borderId="1" xfId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5" xfId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4" xfId="1" applyFont="1" applyBorder="1" applyAlignment="1">
      <alignment horizontal="center"/>
    </xf>
    <xf numFmtId="3" fontId="1" fillId="0" borderId="5" xfId="1" applyNumberForma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5" fillId="0" borderId="14" xfId="0" applyFont="1" applyBorder="1"/>
    <xf numFmtId="0" fontId="5" fillId="0" borderId="2" xfId="0" applyFont="1" applyBorder="1"/>
    <xf numFmtId="0" fontId="0" fillId="0" borderId="14" xfId="0" applyBorder="1"/>
    <xf numFmtId="0" fontId="5" fillId="0" borderId="11" xfId="0" applyFont="1" applyBorder="1"/>
    <xf numFmtId="0" fontId="5" fillId="0" borderId="0" xfId="0" applyFont="1"/>
    <xf numFmtId="0" fontId="0" fillId="2" borderId="9" xfId="0" applyFill="1" applyBorder="1"/>
    <xf numFmtId="0" fontId="5" fillId="0" borderId="9" xfId="0" applyFont="1" applyBorder="1"/>
    <xf numFmtId="0" fontId="0" fillId="0" borderId="12" xfId="0" applyBorder="1"/>
    <xf numFmtId="0" fontId="0" fillId="0" borderId="1" xfId="0" applyBorder="1"/>
    <xf numFmtId="0" fontId="0" fillId="0" borderId="5" xfId="0" applyBorder="1"/>
    <xf numFmtId="0" fontId="0" fillId="2" borderId="5" xfId="0" applyFill="1" applyBorder="1"/>
    <xf numFmtId="0" fontId="5" fillId="0" borderId="5" xfId="0" applyFont="1" applyBorder="1"/>
    <xf numFmtId="0" fontId="0" fillId="0" borderId="13" xfId="0" applyBorder="1"/>
    <xf numFmtId="0" fontId="0" fillId="0" borderId="2" xfId="0" applyBorder="1"/>
    <xf numFmtId="3" fontId="5" fillId="3" borderId="4" xfId="0" applyNumberFormat="1" applyFont="1" applyFill="1" applyBorder="1"/>
    <xf numFmtId="3" fontId="0" fillId="3" borderId="4" xfId="0" applyNumberFormat="1" applyFill="1" applyBorder="1"/>
    <xf numFmtId="3" fontId="0" fillId="0" borderId="4" xfId="0" applyNumberFormat="1" applyBorder="1"/>
    <xf numFmtId="3" fontId="6" fillId="2" borderId="4" xfId="0" applyNumberFormat="1" applyFont="1" applyFill="1" applyBorder="1"/>
    <xf numFmtId="3" fontId="5" fillId="0" borderId="4" xfId="0" applyNumberFormat="1" applyFont="1" applyBorder="1"/>
    <xf numFmtId="3" fontId="5" fillId="0" borderId="0" xfId="0" applyNumberFormat="1" applyFont="1"/>
    <xf numFmtId="0" fontId="0" fillId="0" borderId="4" xfId="0" applyBorder="1"/>
    <xf numFmtId="0" fontId="6" fillId="2" borderId="4" xfId="0" applyFont="1" applyFill="1" applyBorder="1"/>
    <xf numFmtId="3" fontId="7" fillId="0" borderId="4" xfId="0" applyNumberFormat="1" applyFont="1" applyBorder="1"/>
    <xf numFmtId="0" fontId="0" fillId="0" borderId="4" xfId="0" applyFill="1" applyBorder="1"/>
    <xf numFmtId="0" fontId="7" fillId="2" borderId="2" xfId="0" applyFont="1" applyFill="1" applyBorder="1"/>
    <xf numFmtId="0" fontId="8" fillId="2" borderId="4" xfId="0" applyFont="1" applyFill="1" applyBorder="1"/>
    <xf numFmtId="0" fontId="0" fillId="0" borderId="13" xfId="0" applyFill="1" applyBorder="1"/>
    <xf numFmtId="3" fontId="5" fillId="4" borderId="4" xfId="0" applyNumberFormat="1" applyFont="1" applyFill="1" applyBorder="1"/>
    <xf numFmtId="3" fontId="5" fillId="2" borderId="4" xfId="0" applyNumberFormat="1" applyFont="1" applyFill="1" applyBorder="1"/>
    <xf numFmtId="3" fontId="9" fillId="2" borderId="4" xfId="0" applyNumberFormat="1" applyFont="1" applyFill="1" applyBorder="1"/>
    <xf numFmtId="0" fontId="0" fillId="0" borderId="12" xfId="0" applyFill="1" applyBorder="1"/>
    <xf numFmtId="3" fontId="5" fillId="4" borderId="5" xfId="0" applyNumberFormat="1" applyFont="1" applyFill="1" applyBorder="1"/>
    <xf numFmtId="3" fontId="0" fillId="4" borderId="5" xfId="0" applyNumberFormat="1" applyFill="1" applyBorder="1"/>
    <xf numFmtId="3" fontId="0" fillId="0" borderId="5" xfId="0" applyNumberFormat="1" applyBorder="1"/>
    <xf numFmtId="3" fontId="6" fillId="2" borderId="5" xfId="0" applyNumberFormat="1" applyFont="1" applyFill="1" applyBorder="1"/>
    <xf numFmtId="3" fontId="9" fillId="2" borderId="5" xfId="0" applyNumberFormat="1" applyFont="1" applyFill="1" applyBorder="1"/>
    <xf numFmtId="0" fontId="0" fillId="0" borderId="3" xfId="0" applyBorder="1"/>
    <xf numFmtId="0" fontId="0" fillId="0" borderId="7" xfId="0" applyBorder="1"/>
    <xf numFmtId="3" fontId="0" fillId="4" borderId="4" xfId="0" applyNumberFormat="1" applyFill="1" applyBorder="1"/>
    <xf numFmtId="0" fontId="5" fillId="0" borderId="13" xfId="0" applyFont="1" applyFill="1" applyBorder="1"/>
    <xf numFmtId="0" fontId="9" fillId="0" borderId="0" xfId="0" applyFont="1"/>
    <xf numFmtId="3" fontId="0" fillId="5" borderId="4" xfId="0" applyNumberFormat="1" applyFill="1" applyBorder="1"/>
    <xf numFmtId="3" fontId="10" fillId="4" borderId="4" xfId="0" applyNumberFormat="1" applyFont="1" applyFill="1" applyBorder="1"/>
    <xf numFmtId="3" fontId="10" fillId="0" borderId="4" xfId="0" applyNumberFormat="1" applyFont="1" applyBorder="1"/>
    <xf numFmtId="0" fontId="10" fillId="0" borderId="2" xfId="0" applyFont="1" applyBorder="1"/>
    <xf numFmtId="3" fontId="10" fillId="3" borderId="4" xfId="0" applyNumberFormat="1" applyFont="1" applyFill="1" applyBorder="1"/>
    <xf numFmtId="0" fontId="10" fillId="0" borderId="0" xfId="0" applyFont="1"/>
    <xf numFmtId="0" fontId="13" fillId="0" borderId="14" xfId="0" applyFont="1" applyBorder="1"/>
    <xf numFmtId="0" fontId="12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3" fontId="10" fillId="0" borderId="5" xfId="0" applyNumberFormat="1" applyFont="1" applyBorder="1"/>
    <xf numFmtId="0" fontId="0" fillId="0" borderId="15" xfId="0" applyBorder="1"/>
    <xf numFmtId="0" fontId="11" fillId="0" borderId="5" xfId="0" applyFont="1" applyBorder="1"/>
    <xf numFmtId="0" fontId="0" fillId="0" borderId="16" xfId="0" applyFill="1" applyBorder="1"/>
    <xf numFmtId="0" fontId="1" fillId="0" borderId="5" xfId="1" applyFill="1" applyBorder="1"/>
    <xf numFmtId="0" fontId="1" fillId="0" borderId="10" xfId="1" applyFill="1" applyBorder="1"/>
    <xf numFmtId="3" fontId="1" fillId="0" borderId="5" xfId="1" applyNumberFormat="1" applyFill="1" applyBorder="1" applyAlignment="1">
      <alignment horizontal="center"/>
    </xf>
    <xf numFmtId="0" fontId="1" fillId="0" borderId="5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4" xfId="1" applyFill="1" applyBorder="1" applyAlignment="1">
      <alignment horizontal="center"/>
    </xf>
    <xf numFmtId="0" fontId="1" fillId="0" borderId="4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0" fillId="0" borderId="0" xfId="0" applyAlignment="1"/>
    <xf numFmtId="0" fontId="11" fillId="0" borderId="0" xfId="0" applyFont="1"/>
    <xf numFmtId="0" fontId="16" fillId="0" borderId="0" xfId="0" applyFont="1"/>
    <xf numFmtId="0" fontId="1" fillId="0" borderId="5" xfId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3" fontId="10" fillId="4" borderId="5" xfId="0" applyNumberFormat="1" applyFont="1" applyFill="1" applyBorder="1" applyAlignment="1">
      <alignment horizontal="center"/>
    </xf>
    <xf numFmtId="3" fontId="10" fillId="6" borderId="5" xfId="0" applyNumberFormat="1" applyFont="1" applyFill="1" applyBorder="1" applyAlignment="1">
      <alignment horizontal="center"/>
    </xf>
    <xf numFmtId="3" fontId="10" fillId="7" borderId="5" xfId="0" applyNumberFormat="1" applyFont="1" applyFill="1" applyBorder="1" applyAlignment="1">
      <alignment horizontal="center"/>
    </xf>
    <xf numFmtId="3" fontId="10" fillId="8" borderId="5" xfId="0" applyNumberFormat="1" applyFont="1" applyFill="1" applyBorder="1" applyAlignment="1">
      <alignment horizontal="center"/>
    </xf>
    <xf numFmtId="0" fontId="1" fillId="0" borderId="8" xfId="1" applyFill="1" applyBorder="1"/>
    <xf numFmtId="0" fontId="11" fillId="0" borderId="13" xfId="0" applyFont="1" applyBorder="1"/>
    <xf numFmtId="0" fontId="11" fillId="0" borderId="2" xfId="0" applyFont="1" applyBorder="1"/>
    <xf numFmtId="0" fontId="11" fillId="0" borderId="17" xfId="0" applyFont="1" applyFill="1" applyBorder="1"/>
    <xf numFmtId="0" fontId="11" fillId="0" borderId="16" xfId="0" applyFont="1" applyBorder="1"/>
    <xf numFmtId="0" fontId="11" fillId="0" borderId="15" xfId="0" applyFont="1" applyBorder="1"/>
    <xf numFmtId="3" fontId="10" fillId="7" borderId="4" xfId="0" applyNumberFormat="1" applyFont="1" applyFill="1" applyBorder="1" applyAlignment="1">
      <alignment horizontal="center"/>
    </xf>
    <xf numFmtId="3" fontId="10" fillId="8" borderId="4" xfId="0" applyNumberFormat="1" applyFont="1" applyFill="1" applyBorder="1" applyAlignment="1">
      <alignment horizontal="center"/>
    </xf>
    <xf numFmtId="3" fontId="11" fillId="4" borderId="4" xfId="0" applyNumberFormat="1" applyFont="1" applyFill="1" applyBorder="1"/>
    <xf numFmtId="3" fontId="11" fillId="4" borderId="4" xfId="0" applyNumberFormat="1" applyFont="1" applyFill="1" applyBorder="1" applyAlignment="1">
      <alignment horizontal="center"/>
    </xf>
    <xf numFmtId="3" fontId="11" fillId="0" borderId="4" xfId="0" applyNumberFormat="1" applyFont="1" applyBorder="1"/>
    <xf numFmtId="3" fontId="18" fillId="2" borderId="4" xfId="0" applyNumberFormat="1" applyFont="1" applyFill="1" applyBorder="1"/>
    <xf numFmtId="3" fontId="10" fillId="0" borderId="4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/>
    <xf numFmtId="0" fontId="18" fillId="2" borderId="4" xfId="0" applyFont="1" applyFill="1" applyBorder="1"/>
    <xf numFmtId="3" fontId="11" fillId="0" borderId="4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7" xfId="0" applyFont="1" applyBorder="1"/>
    <xf numFmtId="3" fontId="11" fillId="4" borderId="17" xfId="0" applyNumberFormat="1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7" xfId="0" applyFont="1" applyFill="1" applyBorder="1"/>
    <xf numFmtId="3" fontId="11" fillId="0" borderId="17" xfId="0" applyNumberFormat="1" applyFont="1" applyBorder="1"/>
    <xf numFmtId="0" fontId="18" fillId="2" borderId="17" xfId="0" applyFont="1" applyFill="1" applyBorder="1"/>
    <xf numFmtId="3" fontId="10" fillId="0" borderId="17" xfId="0" applyNumberFormat="1" applyFont="1" applyBorder="1" applyAlignment="1">
      <alignment horizontal="center"/>
    </xf>
    <xf numFmtId="3" fontId="11" fillId="0" borderId="5" xfId="0" applyNumberFormat="1" applyFont="1" applyBorder="1"/>
    <xf numFmtId="3" fontId="18" fillId="2" borderId="5" xfId="0" applyNumberFormat="1" applyFont="1" applyFill="1" applyBorder="1"/>
    <xf numFmtId="3" fontId="10" fillId="0" borderId="5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9" fillId="2" borderId="2" xfId="0" applyFont="1" applyFill="1" applyBorder="1"/>
    <xf numFmtId="0" fontId="20" fillId="2" borderId="4" xfId="0" applyFont="1" applyFill="1" applyBorder="1" applyAlignment="1">
      <alignment horizontal="center"/>
    </xf>
    <xf numFmtId="3" fontId="11" fillId="6" borderId="4" xfId="0" applyNumberFormat="1" applyFont="1" applyFill="1" applyBorder="1" applyAlignment="1">
      <alignment horizontal="center"/>
    </xf>
    <xf numFmtId="3" fontId="11" fillId="6" borderId="5" xfId="0" applyNumberFormat="1" applyFont="1" applyFill="1" applyBorder="1" applyAlignment="1">
      <alignment horizontal="center"/>
    </xf>
    <xf numFmtId="3" fontId="10" fillId="7" borderId="17" xfId="0" applyNumberFormat="1" applyFont="1" applyFill="1" applyBorder="1" applyAlignment="1">
      <alignment horizontal="center"/>
    </xf>
    <xf numFmtId="3" fontId="10" fillId="8" borderId="17" xfId="0" applyNumberFormat="1" applyFont="1" applyFill="1" applyBorder="1" applyAlignment="1">
      <alignment horizontal="center"/>
    </xf>
    <xf numFmtId="3" fontId="11" fillId="6" borderId="17" xfId="0" applyNumberFormat="1" applyFont="1" applyFill="1" applyBorder="1" applyAlignment="1">
      <alignment horizontal="center"/>
    </xf>
    <xf numFmtId="3" fontId="18" fillId="2" borderId="17" xfId="0" applyNumberFormat="1" applyFont="1" applyFill="1" applyBorder="1"/>
    <xf numFmtId="0" fontId="10" fillId="7" borderId="4" xfId="0" applyFont="1" applyFill="1" applyBorder="1" applyAlignment="1">
      <alignment horizontal="center"/>
    </xf>
    <xf numFmtId="1" fontId="10" fillId="8" borderId="4" xfId="0" applyNumberFormat="1" applyFont="1" applyFill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9" borderId="3" xfId="0" applyFont="1" applyFill="1" applyBorder="1" applyAlignment="1">
      <alignment horizontal="center" vertical="center" wrapText="1"/>
    </xf>
    <xf numFmtId="3" fontId="10" fillId="9" borderId="4" xfId="0" applyNumberFormat="1" applyFont="1" applyFill="1" applyBorder="1" applyAlignment="1">
      <alignment horizontal="center"/>
    </xf>
    <xf numFmtId="3" fontId="10" fillId="9" borderId="17" xfId="0" applyNumberFormat="1" applyFont="1" applyFill="1" applyBorder="1" applyAlignment="1">
      <alignment horizontal="center"/>
    </xf>
    <xf numFmtId="3" fontId="10" fillId="10" borderId="4" xfId="0" applyNumberFormat="1" applyFont="1" applyFill="1" applyBorder="1" applyAlignment="1">
      <alignment horizontal="center"/>
    </xf>
    <xf numFmtId="0" fontId="10" fillId="10" borderId="10" xfId="0" applyFont="1" applyFill="1" applyBorder="1" applyAlignment="1">
      <alignment horizontal="center"/>
    </xf>
    <xf numFmtId="0" fontId="10" fillId="10" borderId="4" xfId="0" applyFont="1" applyFill="1" applyBorder="1" applyAlignment="1">
      <alignment horizontal="center"/>
    </xf>
    <xf numFmtId="3" fontId="10" fillId="10" borderId="17" xfId="0" applyNumberFormat="1" applyFont="1" applyFill="1" applyBorder="1" applyAlignment="1">
      <alignment horizontal="center"/>
    </xf>
    <xf numFmtId="3" fontId="10" fillId="10" borderId="5" xfId="0" applyNumberFormat="1" applyFont="1" applyFill="1" applyBorder="1" applyAlignment="1">
      <alignment horizontal="center"/>
    </xf>
    <xf numFmtId="3" fontId="10" fillId="6" borderId="5" xfId="0" applyNumberFormat="1" applyFont="1" applyFill="1" applyBorder="1"/>
    <xf numFmtId="3" fontId="10" fillId="9" borderId="18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11" borderId="14" xfId="0" applyFont="1" applyFill="1" applyBorder="1"/>
    <xf numFmtId="0" fontId="15" fillId="11" borderId="6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3" fontId="11" fillId="4" borderId="4" xfId="0" applyNumberFormat="1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3" fontId="11" fillId="12" borderId="4" xfId="0" applyNumberFormat="1" applyFont="1" applyFill="1" applyBorder="1" applyAlignment="1">
      <alignment horizontal="center" vertical="center"/>
    </xf>
    <xf numFmtId="0" fontId="11" fillId="12" borderId="17" xfId="0" applyFont="1" applyFill="1" applyBorder="1" applyAlignment="1">
      <alignment horizontal="center" vertical="center"/>
    </xf>
    <xf numFmtId="0" fontId="1" fillId="0" borderId="7" xfId="1" applyFill="1" applyBorder="1"/>
    <xf numFmtId="0" fontId="1" fillId="0" borderId="3" xfId="1" applyFill="1" applyBorder="1" applyAlignment="1">
      <alignment horizontal="center"/>
    </xf>
    <xf numFmtId="0" fontId="0" fillId="0" borderId="9" xfId="0" applyNumberFormat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/>
    </xf>
    <xf numFmtId="0" fontId="0" fillId="0" borderId="11" xfId="0" applyFill="1" applyBorder="1"/>
    <xf numFmtId="3" fontId="10" fillId="7" borderId="9" xfId="0" applyNumberFormat="1" applyFont="1" applyFill="1" applyBorder="1" applyAlignment="1">
      <alignment horizontal="center"/>
    </xf>
    <xf numFmtId="3" fontId="10" fillId="8" borderId="9" xfId="0" applyNumberFormat="1" applyFont="1" applyFill="1" applyBorder="1" applyAlignment="1">
      <alignment horizontal="center"/>
    </xf>
    <xf numFmtId="0" fontId="11" fillId="0" borderId="9" xfId="0" applyFont="1" applyBorder="1"/>
    <xf numFmtId="3" fontId="11" fillId="6" borderId="9" xfId="0" applyNumberFormat="1" applyFont="1" applyFill="1" applyBorder="1" applyAlignment="1">
      <alignment horizontal="center"/>
    </xf>
    <xf numFmtId="0" fontId="3" fillId="0" borderId="5" xfId="1" applyFont="1" applyBorder="1"/>
    <xf numFmtId="0" fontId="3" fillId="0" borderId="4" xfId="1" applyFont="1" applyBorder="1"/>
    <xf numFmtId="0" fontId="3" fillId="0" borderId="9" xfId="1" applyFont="1" applyBorder="1" applyAlignment="1">
      <alignment horizontal="center"/>
    </xf>
    <xf numFmtId="0" fontId="1" fillId="0" borderId="8" xfId="1" applyFill="1" applyBorder="1" applyAlignment="1">
      <alignment horizontal="center"/>
    </xf>
    <xf numFmtId="1" fontId="1" fillId="0" borderId="4" xfId="1" applyNumberFormat="1" applyFill="1" applyBorder="1" applyAlignment="1">
      <alignment horizontal="center"/>
    </xf>
    <xf numFmtId="0" fontId="1" fillId="0" borderId="4" xfId="1" applyFill="1" applyBorder="1"/>
    <xf numFmtId="0" fontId="1" fillId="0" borderId="3" xfId="1" applyFill="1" applyBorder="1"/>
    <xf numFmtId="0" fontId="0" fillId="0" borderId="0" xfId="0" applyFill="1"/>
    <xf numFmtId="0" fontId="1" fillId="0" borderId="5" xfId="1" applyFill="1" applyBorder="1" applyAlignment="1">
      <alignment horizontal="center" vertical="center"/>
    </xf>
    <xf numFmtId="0" fontId="1" fillId="0" borderId="7" xfId="1" applyFill="1" applyBorder="1" applyAlignment="1">
      <alignment horizontal="center" vertical="center"/>
    </xf>
    <xf numFmtId="0" fontId="1" fillId="9" borderId="4" xfId="1" applyFill="1" applyBorder="1" applyAlignment="1">
      <alignment horizontal="center" vertical="center"/>
    </xf>
    <xf numFmtId="0" fontId="1" fillId="0" borderId="2" xfId="1" applyFont="1" applyFill="1" applyBorder="1"/>
    <xf numFmtId="0" fontId="1" fillId="9" borderId="5" xfId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1" fillId="0" borderId="9" xfId="1" applyFill="1" applyBorder="1"/>
    <xf numFmtId="0" fontId="1" fillId="0" borderId="6" xfId="1" applyFill="1" applyBorder="1"/>
    <xf numFmtId="0" fontId="0" fillId="0" borderId="9" xfId="0" applyFill="1" applyBorder="1"/>
    <xf numFmtId="0" fontId="0" fillId="0" borderId="9" xfId="0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" fillId="0" borderId="4" xfId="1" applyFont="1" applyFill="1" applyBorder="1"/>
    <xf numFmtId="0" fontId="1" fillId="0" borderId="5" xfId="1" applyFont="1" applyFill="1" applyBorder="1"/>
    <xf numFmtId="0" fontId="1" fillId="0" borderId="12" xfId="1" applyFill="1" applyBorder="1"/>
    <xf numFmtId="0" fontId="1" fillId="0" borderId="13" xfId="1" applyFill="1" applyBorder="1"/>
    <xf numFmtId="0" fontId="1" fillId="9" borderId="5" xfId="1" applyFill="1" applyBorder="1"/>
    <xf numFmtId="0" fontId="1" fillId="9" borderId="10" xfId="1" applyFill="1" applyBorder="1"/>
    <xf numFmtId="0" fontId="1" fillId="9" borderId="5" xfId="1" applyFill="1" applyBorder="1" applyAlignment="1">
      <alignment horizontal="center"/>
    </xf>
    <xf numFmtId="3" fontId="1" fillId="9" borderId="5" xfId="1" applyNumberFormat="1" applyFill="1" applyBorder="1" applyAlignment="1">
      <alignment horizontal="center"/>
    </xf>
    <xf numFmtId="0" fontId="1" fillId="0" borderId="3" xfId="1" applyFill="1" applyBorder="1" applyAlignment="1">
      <alignment horizontal="center" vertical="center"/>
    </xf>
    <xf numFmtId="0" fontId="1" fillId="9" borderId="4" xfId="1" applyFill="1" applyBorder="1" applyAlignment="1">
      <alignment horizontal="center"/>
    </xf>
    <xf numFmtId="0" fontId="15" fillId="0" borderId="5" xfId="0" applyFont="1" applyFill="1" applyBorder="1"/>
    <xf numFmtId="0" fontId="1" fillId="9" borderId="4" xfId="1" applyFill="1" applyBorder="1"/>
    <xf numFmtId="0" fontId="1" fillId="9" borderId="9" xfId="1" applyFill="1" applyBorder="1"/>
    <xf numFmtId="0" fontId="15" fillId="10" borderId="2" xfId="0" applyFont="1" applyFill="1" applyBorder="1"/>
    <xf numFmtId="0" fontId="22" fillId="10" borderId="4" xfId="0" applyFont="1" applyFill="1" applyBorder="1" applyAlignment="1">
      <alignment horizontal="center"/>
    </xf>
    <xf numFmtId="0" fontId="15" fillId="10" borderId="4" xfId="0" applyFont="1" applyFill="1" applyBorder="1" applyAlignment="1">
      <alignment horizontal="center"/>
    </xf>
    <xf numFmtId="3" fontId="22" fillId="10" borderId="4" xfId="0" applyNumberFormat="1" applyFont="1" applyFill="1" applyBorder="1" applyAlignment="1">
      <alignment horizontal="center"/>
    </xf>
    <xf numFmtId="0" fontId="1" fillId="0" borderId="12" xfId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0" fillId="9" borderId="4" xfId="0" applyFill="1" applyBorder="1"/>
    <xf numFmtId="0" fontId="1" fillId="0" borderId="4" xfId="1" applyFill="1" applyBorder="1" applyAlignment="1">
      <alignment vertical="center"/>
    </xf>
    <xf numFmtId="3" fontId="18" fillId="4" borderId="4" xfId="0" applyNumberFormat="1" applyFont="1" applyFill="1" applyBorder="1" applyAlignment="1">
      <alignment horizontal="center" vertical="center"/>
    </xf>
    <xf numFmtId="3" fontId="18" fillId="6" borderId="5" xfId="0" applyNumberFormat="1" applyFont="1" applyFill="1" applyBorder="1" applyAlignment="1">
      <alignment horizontal="center"/>
    </xf>
    <xf numFmtId="3" fontId="10" fillId="5" borderId="4" xfId="0" applyNumberFormat="1" applyFont="1" applyFill="1" applyBorder="1" applyAlignment="1">
      <alignment horizontal="center"/>
    </xf>
    <xf numFmtId="3" fontId="10" fillId="5" borderId="12" xfId="0" applyNumberFormat="1" applyFont="1" applyFill="1" applyBorder="1" applyAlignment="1">
      <alignment horizontal="center"/>
    </xf>
    <xf numFmtId="0" fontId="1" fillId="0" borderId="1" xfId="1" applyFont="1" applyBorder="1"/>
    <xf numFmtId="0" fontId="1" fillId="0" borderId="2" xfId="1" applyBorder="1" applyAlignment="1">
      <alignment horizontal="left" vertical="center" wrapText="1"/>
    </xf>
    <xf numFmtId="0" fontId="1" fillId="0" borderId="2" xfId="1" applyBorder="1" applyAlignment="1"/>
    <xf numFmtId="0" fontId="1" fillId="0" borderId="2" xfId="1" applyFill="1" applyBorder="1" applyAlignment="1"/>
    <xf numFmtId="0" fontId="1" fillId="0" borderId="2" xfId="1" applyBorder="1" applyAlignment="1">
      <alignment wrapText="1"/>
    </xf>
    <xf numFmtId="0" fontId="1" fillId="0" borderId="2" xfId="1" applyBorder="1" applyAlignment="1">
      <alignment horizontal="left" wrapText="1"/>
    </xf>
    <xf numFmtId="0" fontId="1" fillId="0" borderId="14" xfId="1" applyBorder="1" applyAlignment="1"/>
    <xf numFmtId="0" fontId="1" fillId="0" borderId="4" xfId="1" applyBorder="1" applyAlignment="1"/>
    <xf numFmtId="0" fontId="1" fillId="0" borderId="2" xfId="1" applyBorder="1" applyAlignment="1">
      <alignment horizontal="left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4" xfId="1" applyBorder="1" applyAlignment="1">
      <alignment horizontal="left" vertical="center" wrapText="1"/>
    </xf>
    <xf numFmtId="0" fontId="1" fillId="0" borderId="2" xfId="1" applyBorder="1" applyAlignment="1">
      <alignment horizontal="center" wrapText="1"/>
    </xf>
    <xf numFmtId="0" fontId="1" fillId="0" borderId="1" xfId="1" applyBorder="1" applyAlignment="1"/>
    <xf numFmtId="0" fontId="1" fillId="0" borderId="2" xfId="1" applyFont="1" applyBorder="1" applyAlignment="1"/>
    <xf numFmtId="0" fontId="1" fillId="0" borderId="2" xfId="1" applyFill="1" applyBorder="1" applyAlignment="1">
      <alignment wrapText="1"/>
    </xf>
    <xf numFmtId="2" fontId="1" fillId="0" borderId="2" xfId="1" applyNumberFormat="1" applyBorder="1" applyAlignment="1">
      <alignment wrapText="1"/>
    </xf>
    <xf numFmtId="0" fontId="1" fillId="0" borderId="2" xfId="1" applyFill="1" applyBorder="1" applyAlignment="1">
      <alignment horizontal="center" vertical="center"/>
    </xf>
    <xf numFmtId="0" fontId="1" fillId="0" borderId="2" xfId="1" applyBorder="1" applyAlignment="1">
      <alignment vertical="center" wrapText="1"/>
    </xf>
    <xf numFmtId="2" fontId="1" fillId="0" borderId="2" xfId="1" applyNumberFormat="1" applyBorder="1" applyAlignment="1"/>
    <xf numFmtId="0" fontId="1" fillId="9" borderId="7" xfId="1" applyFill="1" applyBorder="1" applyAlignment="1">
      <alignment horizontal="center"/>
    </xf>
    <xf numFmtId="0" fontId="1" fillId="9" borderId="3" xfId="1" applyFont="1" applyFill="1" applyBorder="1" applyAlignment="1">
      <alignment horizontal="center"/>
    </xf>
    <xf numFmtId="0" fontId="1" fillId="9" borderId="3" xfId="1" applyFill="1" applyBorder="1" applyAlignment="1">
      <alignment horizontal="center"/>
    </xf>
    <xf numFmtId="0" fontId="1" fillId="9" borderId="3" xfId="1" applyFill="1" applyBorder="1" applyAlignment="1">
      <alignment horizontal="center" vertical="center"/>
    </xf>
    <xf numFmtId="0" fontId="1" fillId="9" borderId="3" xfId="1" applyFill="1" applyBorder="1"/>
    <xf numFmtId="0" fontId="1" fillId="9" borderId="7" xfId="1" applyFill="1" applyBorder="1"/>
    <xf numFmtId="0" fontId="1" fillId="9" borderId="8" xfId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1" applyFont="1" applyBorder="1" applyAlignment="1">
      <alignment horizontal="left"/>
    </xf>
    <xf numFmtId="0" fontId="1" fillId="9" borderId="8" xfId="1" applyFill="1" applyBorder="1"/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1" applyAlignment="1">
      <alignment horizontal="left"/>
    </xf>
    <xf numFmtId="0" fontId="1" fillId="0" borderId="2" xfId="1" applyFill="1" applyBorder="1" applyAlignment="1">
      <alignment horizontal="left"/>
    </xf>
    <xf numFmtId="0" fontId="1" fillId="0" borderId="1" xfId="1" applyBorder="1" applyAlignment="1">
      <alignment horizontal="left"/>
    </xf>
    <xf numFmtId="0" fontId="1" fillId="0" borderId="4" xfId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4" xfId="1" applyBorder="1" applyAlignment="1">
      <alignment horizontal="left"/>
    </xf>
    <xf numFmtId="0" fontId="1" fillId="0" borderId="4" xfId="1" applyFill="1" applyBorder="1" applyAlignment="1">
      <alignment horizontal="left"/>
    </xf>
    <xf numFmtId="0" fontId="0" fillId="0" borderId="2" xfId="0" applyBorder="1" applyAlignment="1">
      <alignment horizontal="left" wrapText="1"/>
    </xf>
    <xf numFmtId="0" fontId="1" fillId="0" borderId="4" xfId="1" applyBorder="1" applyAlignment="1">
      <alignment wrapText="1"/>
    </xf>
    <xf numFmtId="0" fontId="1" fillId="9" borderId="7" xfId="1" applyFont="1" applyFill="1" applyBorder="1"/>
    <xf numFmtId="3" fontId="3" fillId="9" borderId="5" xfId="1" applyNumberFormat="1" applyFont="1" applyFill="1" applyBorder="1" applyAlignment="1">
      <alignment horizontal="center"/>
    </xf>
    <xf numFmtId="3" fontId="3" fillId="9" borderId="5" xfId="1" applyNumberFormat="1" applyFont="1" applyFill="1" applyBorder="1"/>
    <xf numFmtId="1" fontId="3" fillId="9" borderId="5" xfId="1" applyNumberFormat="1" applyFont="1" applyFill="1" applyBorder="1" applyAlignment="1">
      <alignment horizontal="center"/>
    </xf>
    <xf numFmtId="0" fontId="1" fillId="9" borderId="12" xfId="1" applyFill="1" applyBorder="1"/>
    <xf numFmtId="0" fontId="1" fillId="9" borderId="13" xfId="1" applyFill="1" applyBorder="1"/>
    <xf numFmtId="3" fontId="3" fillId="9" borderId="4" xfId="1" applyNumberFormat="1" applyFont="1" applyFill="1" applyBorder="1"/>
    <xf numFmtId="0" fontId="3" fillId="9" borderId="7" xfId="1" applyFont="1" applyFill="1" applyBorder="1"/>
    <xf numFmtId="1" fontId="3" fillId="9" borderId="5" xfId="1" applyNumberFormat="1" applyFont="1" applyFill="1" applyBorder="1"/>
    <xf numFmtId="0" fontId="3" fillId="9" borderId="5" xfId="1" applyFont="1" applyFill="1" applyBorder="1" applyAlignment="1">
      <alignment horizontal="center"/>
    </xf>
    <xf numFmtId="3" fontId="3" fillId="9" borderId="4" xfId="1" applyNumberFormat="1" applyFont="1" applyFill="1" applyBorder="1" applyAlignment="1">
      <alignment horizontal="center"/>
    </xf>
    <xf numFmtId="0" fontId="3" fillId="9" borderId="4" xfId="1" applyFont="1" applyFill="1" applyBorder="1" applyAlignment="1">
      <alignment horizontal="center"/>
    </xf>
    <xf numFmtId="3" fontId="11" fillId="9" borderId="4" xfId="0" applyNumberFormat="1" applyFont="1" applyFill="1" applyBorder="1" applyAlignment="1">
      <alignment horizontal="center" vertical="center"/>
    </xf>
    <xf numFmtId="3" fontId="11" fillId="9" borderId="4" xfId="0" applyNumberFormat="1" applyFont="1" applyFill="1" applyBorder="1"/>
    <xf numFmtId="3" fontId="11" fillId="0" borderId="4" xfId="0" applyNumberFormat="1" applyFont="1" applyFill="1" applyBorder="1" applyAlignment="1">
      <alignment horizontal="center" vertical="center"/>
    </xf>
    <xf numFmtId="0" fontId="1" fillId="0" borderId="14" xfId="1" applyFill="1" applyBorder="1" applyAlignment="1">
      <alignment wrapText="1"/>
    </xf>
    <xf numFmtId="3" fontId="10" fillId="0" borderId="4" xfId="0" applyNumberFormat="1" applyFont="1" applyFill="1" applyBorder="1" applyAlignment="1">
      <alignment horizontal="center"/>
    </xf>
    <xf numFmtId="3" fontId="11" fillId="0" borderId="4" xfId="0" applyNumberFormat="1" applyFont="1" applyFill="1" applyBorder="1"/>
    <xf numFmtId="3" fontId="11" fillId="0" borderId="4" xfId="0" applyNumberFormat="1" applyFont="1" applyFill="1" applyBorder="1" applyAlignment="1">
      <alignment horizontal="center"/>
    </xf>
    <xf numFmtId="3" fontId="18" fillId="0" borderId="4" xfId="0" applyNumberFormat="1" applyFont="1" applyFill="1" applyBorder="1" applyAlignment="1">
      <alignment horizontal="center" vertical="center"/>
    </xf>
    <xf numFmtId="0" fontId="1" fillId="9" borderId="6" xfId="1" applyFill="1" applyBorder="1"/>
    <xf numFmtId="0" fontId="0" fillId="9" borderId="9" xfId="0" applyFill="1" applyBorder="1"/>
    <xf numFmtId="0" fontId="1" fillId="0" borderId="3" xfId="1" applyFont="1" applyFill="1" applyBorder="1" applyAlignment="1">
      <alignment horizontal="center"/>
    </xf>
    <xf numFmtId="0" fontId="1" fillId="9" borderId="4" xfId="1" applyFont="1" applyFill="1" applyBorder="1"/>
    <xf numFmtId="0" fontId="1" fillId="0" borderId="4" xfId="1" applyBorder="1" applyAlignment="1">
      <alignment horizontal="left" wrapText="1"/>
    </xf>
    <xf numFmtId="3" fontId="0" fillId="0" borderId="0" xfId="0" applyNumberFormat="1" applyAlignment="1">
      <alignment horizontal="center"/>
    </xf>
    <xf numFmtId="0" fontId="1" fillId="0" borderId="14" xfId="1" applyBorder="1"/>
    <xf numFmtId="164" fontId="27" fillId="10" borderId="2" xfId="2" applyNumberFormat="1" applyFont="1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1" fillId="9" borderId="4" xfId="1" applyFont="1" applyFill="1" applyBorder="1" applyAlignment="1">
      <alignment horizontal="center"/>
    </xf>
    <xf numFmtId="0" fontId="1" fillId="9" borderId="5" xfId="1" applyFont="1" applyFill="1" applyBorder="1" applyAlignment="1">
      <alignment horizontal="center"/>
    </xf>
    <xf numFmtId="0" fontId="1" fillId="9" borderId="10" xfId="1" applyFont="1" applyFill="1" applyBorder="1"/>
    <xf numFmtId="0" fontId="1" fillId="9" borderId="5" xfId="1" applyFont="1" applyFill="1" applyBorder="1"/>
    <xf numFmtId="0" fontId="1" fillId="9" borderId="9" xfId="1" applyFont="1" applyFill="1" applyBorder="1"/>
    <xf numFmtId="0" fontId="1" fillId="9" borderId="9" xfId="1" applyFill="1" applyBorder="1" applyAlignment="1">
      <alignment horizontal="center"/>
    </xf>
    <xf numFmtId="0" fontId="0" fillId="0" borderId="9" xfId="0" applyBorder="1" applyAlignment="1">
      <alignment wrapText="1"/>
    </xf>
    <xf numFmtId="0" fontId="29" fillId="0" borderId="0" xfId="0" applyFont="1"/>
    <xf numFmtId="0" fontId="4" fillId="0" borderId="4" xfId="1" applyFont="1" applyBorder="1" applyAlignment="1">
      <alignment horizontal="center"/>
    </xf>
    <xf numFmtId="0" fontId="30" fillId="0" borderId="0" xfId="0" applyFont="1" applyAlignment="1">
      <alignment vertical="center" wrapText="1"/>
    </xf>
    <xf numFmtId="0" fontId="15" fillId="11" borderId="12" xfId="0" applyFont="1" applyFill="1" applyBorder="1" applyAlignment="1"/>
    <xf numFmtId="0" fontId="15" fillId="11" borderId="1" xfId="0" applyFont="1" applyFill="1" applyBorder="1" applyAlignment="1"/>
    <xf numFmtId="0" fontId="15" fillId="11" borderId="7" xfId="0" applyFont="1" applyFill="1" applyBorder="1" applyAlignment="1"/>
    <xf numFmtId="0" fontId="24" fillId="14" borderId="11" xfId="0" applyFont="1" applyFill="1" applyBorder="1" applyAlignment="1"/>
    <xf numFmtId="0" fontId="25" fillId="14" borderId="14" xfId="0" applyFont="1" applyFill="1" applyBorder="1" applyAlignment="1"/>
    <xf numFmtId="0" fontId="25" fillId="14" borderId="6" xfId="0" applyFont="1" applyFill="1" applyBorder="1" applyAlignment="1"/>
    <xf numFmtId="0" fontId="15" fillId="14" borderId="12" xfId="0" applyFont="1" applyFill="1" applyBorder="1" applyAlignment="1"/>
    <xf numFmtId="0" fontId="0" fillId="14" borderId="1" xfId="0" applyFill="1" applyBorder="1" applyAlignment="1"/>
    <xf numFmtId="0" fontId="0" fillId="14" borderId="7" xfId="0" applyFill="1" applyBorder="1" applyAlignment="1"/>
    <xf numFmtId="0" fontId="5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21" xfId="0" applyFont="1" applyFill="1" applyBorder="1" applyAlignment="1"/>
    <xf numFmtId="0" fontId="11" fillId="0" borderId="19" xfId="0" applyFont="1" applyBorder="1" applyAlignment="1"/>
    <xf numFmtId="0" fontId="11" fillId="0" borderId="20" xfId="0" applyFont="1" applyBorder="1" applyAlignment="1"/>
    <xf numFmtId="0" fontId="22" fillId="0" borderId="0" xfId="0" applyFont="1" applyAlignment="1"/>
    <xf numFmtId="0" fontId="24" fillId="11" borderId="11" xfId="0" applyFont="1" applyFill="1" applyBorder="1" applyAlignment="1"/>
    <xf numFmtId="0" fontId="24" fillId="11" borderId="14" xfId="0" applyFont="1" applyFill="1" applyBorder="1" applyAlignment="1"/>
    <xf numFmtId="0" fontId="24" fillId="11" borderId="14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13" borderId="9" xfId="0" applyFont="1" applyFill="1" applyBorder="1" applyAlignment="1">
      <alignment horizontal="center" vertical="center" wrapText="1"/>
    </xf>
    <xf numFmtId="0" fontId="5" fillId="13" borderId="5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4" fillId="6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4" fillId="4" borderId="11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6" xfId="0" applyBorder="1" applyAlignment="1">
      <alignment wrapText="1"/>
    </xf>
    <xf numFmtId="0" fontId="23" fillId="0" borderId="1" xfId="0" applyFont="1" applyBorder="1" applyAlignment="1">
      <alignment horizontal="center" vertical="center"/>
    </xf>
    <xf numFmtId="0" fontId="15" fillId="10" borderId="2" xfId="0" applyFont="1" applyFill="1" applyBorder="1" applyAlignment="1">
      <alignment wrapText="1"/>
    </xf>
    <xf numFmtId="0" fontId="0" fillId="10" borderId="2" xfId="0" applyFill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0" fillId="0" borderId="0" xfId="0" applyFont="1" applyAlignment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workbookViewId="0">
      <selection activeCell="Z20" sqref="Z20:Z21"/>
    </sheetView>
  </sheetViews>
  <sheetFormatPr defaultRowHeight="15"/>
  <cols>
    <col min="4" max="4" width="9.85546875" bestFit="1" customWidth="1"/>
    <col min="5" max="5" width="1" customWidth="1"/>
    <col min="6" max="6" width="12" style="36" customWidth="1"/>
    <col min="7" max="7" width="10.85546875" style="36" customWidth="1"/>
    <col min="8" max="8" width="11.42578125" hidden="1" customWidth="1"/>
    <col min="9" max="9" width="10.42578125" style="36" hidden="1" customWidth="1"/>
    <col min="10" max="11" width="10.85546875" style="36" hidden="1" customWidth="1"/>
    <col min="12" max="12" width="10" hidden="1" customWidth="1"/>
    <col min="13" max="13" width="10.85546875" hidden="1" customWidth="1"/>
    <col min="14" max="14" width="12.5703125" hidden="1" customWidth="1"/>
    <col min="15" max="16" width="0.85546875" hidden="1" customWidth="1"/>
    <col min="17" max="17" width="0.7109375" hidden="1" customWidth="1"/>
    <col min="18" max="20" width="0.85546875" hidden="1" customWidth="1"/>
    <col min="21" max="21" width="11.28515625" style="36" customWidth="1"/>
    <col min="22" max="22" width="12" style="36" customWidth="1"/>
    <col min="23" max="23" width="16.140625" style="36" customWidth="1"/>
  </cols>
  <sheetData>
    <row r="1" spans="1:23" ht="6" customHeight="1">
      <c r="A1" s="180"/>
      <c r="B1" s="180"/>
      <c r="C1" s="180"/>
      <c r="D1" s="180"/>
      <c r="E1" s="180"/>
      <c r="F1" s="181"/>
      <c r="G1" s="181"/>
      <c r="H1" s="180"/>
      <c r="I1" s="181"/>
      <c r="J1" s="181"/>
      <c r="K1" s="181"/>
      <c r="L1" s="180"/>
      <c r="M1" s="180"/>
      <c r="N1" s="180"/>
      <c r="O1" s="180"/>
      <c r="P1" s="180"/>
      <c r="Q1" s="180"/>
      <c r="R1" s="180"/>
      <c r="S1" s="180"/>
      <c r="T1" s="180"/>
      <c r="U1" s="181"/>
    </row>
    <row r="2" spans="1:23" ht="21" customHeight="1">
      <c r="A2" s="173"/>
      <c r="B2" s="174"/>
      <c r="C2" s="175"/>
      <c r="D2" s="175"/>
      <c r="E2" s="175"/>
      <c r="F2" s="176"/>
      <c r="G2" s="177" t="s">
        <v>95</v>
      </c>
      <c r="H2" s="177"/>
      <c r="I2" s="177"/>
      <c r="J2" s="177"/>
      <c r="K2" s="177"/>
      <c r="L2" s="177"/>
      <c r="M2" s="178"/>
      <c r="N2" s="179"/>
      <c r="O2" s="179"/>
      <c r="P2" s="172"/>
      <c r="Q2" s="179"/>
      <c r="R2" s="179"/>
      <c r="S2" s="179"/>
      <c r="T2" s="179"/>
      <c r="U2" s="179"/>
    </row>
    <row r="3" spans="1:23" ht="37.5" customHeight="1">
      <c r="A3" s="357" t="s">
        <v>97</v>
      </c>
      <c r="B3" s="358"/>
      <c r="C3" s="358"/>
      <c r="D3" s="358"/>
      <c r="E3" s="359"/>
      <c r="F3" s="340" t="s">
        <v>117</v>
      </c>
      <c r="G3" s="340" t="s">
        <v>117</v>
      </c>
      <c r="H3" s="26" t="s">
        <v>67</v>
      </c>
      <c r="I3" s="338" t="s">
        <v>1</v>
      </c>
      <c r="J3" s="338" t="s">
        <v>2</v>
      </c>
      <c r="K3" s="338" t="s">
        <v>3</v>
      </c>
      <c r="L3" s="338" t="s">
        <v>4</v>
      </c>
      <c r="M3" s="182" t="s">
        <v>5</v>
      </c>
      <c r="N3" s="182" t="s">
        <v>6</v>
      </c>
      <c r="O3" s="26"/>
      <c r="P3" s="26"/>
      <c r="Q3" s="26"/>
      <c r="R3" s="26"/>
      <c r="S3" s="50"/>
      <c r="T3" s="50"/>
      <c r="U3" s="340" t="s">
        <v>126</v>
      </c>
      <c r="V3" s="340" t="s">
        <v>125</v>
      </c>
      <c r="W3" s="350" t="s">
        <v>108</v>
      </c>
    </row>
    <row r="4" spans="1:23" ht="0.75" customHeight="1">
      <c r="A4" s="52"/>
      <c r="B4" s="53"/>
      <c r="C4" s="53"/>
      <c r="D4" s="53"/>
      <c r="E4" s="53"/>
      <c r="F4" s="341"/>
      <c r="G4" s="341"/>
      <c r="H4" s="54" t="s">
        <v>88</v>
      </c>
      <c r="I4" s="339"/>
      <c r="J4" s="339"/>
      <c r="K4" s="339"/>
      <c r="L4" s="339"/>
      <c r="M4" s="187" t="s">
        <v>5</v>
      </c>
      <c r="N4" s="187" t="s">
        <v>6</v>
      </c>
      <c r="O4" s="94" t="s">
        <v>7</v>
      </c>
      <c r="P4" s="94" t="s">
        <v>8</v>
      </c>
      <c r="Q4" s="94" t="s">
        <v>9</v>
      </c>
      <c r="R4" s="94" t="s">
        <v>10</v>
      </c>
      <c r="S4" s="95" t="s">
        <v>11</v>
      </c>
      <c r="T4" s="95" t="s">
        <v>12</v>
      </c>
      <c r="U4" s="341"/>
      <c r="V4" s="349"/>
      <c r="W4" s="351"/>
    </row>
    <row r="5" spans="1:23" ht="15.75">
      <c r="A5" s="121" t="s">
        <v>113</v>
      </c>
      <c r="B5" s="122"/>
      <c r="C5" s="122"/>
      <c r="D5" s="122"/>
      <c r="E5" s="122"/>
      <c r="F5" s="126">
        <v>25090303</v>
      </c>
      <c r="G5" s="127">
        <f>F5/12</f>
        <v>2090858.5833333333</v>
      </c>
      <c r="H5" s="128"/>
      <c r="I5" s="129">
        <v>2150745</v>
      </c>
      <c r="J5" s="129">
        <v>2150245</v>
      </c>
      <c r="K5" s="129">
        <v>1812865</v>
      </c>
      <c r="L5" s="128">
        <v>1921915</v>
      </c>
      <c r="M5" s="192">
        <v>2257168</v>
      </c>
      <c r="N5" s="194">
        <v>1834383</v>
      </c>
      <c r="O5" s="130"/>
      <c r="P5" s="130"/>
      <c r="Q5" s="130"/>
      <c r="R5" s="130"/>
      <c r="S5" s="131"/>
      <c r="T5" s="131"/>
      <c r="U5" s="132">
        <f>SUM(I5:T5)</f>
        <v>12127321</v>
      </c>
      <c r="V5" s="133">
        <f>G5*6</f>
        <v>12545151.5</v>
      </c>
      <c r="W5" s="165">
        <f>U5-V5</f>
        <v>-417830.5</v>
      </c>
    </row>
    <row r="6" spans="1:23" ht="15.75">
      <c r="A6" s="121" t="s">
        <v>112</v>
      </c>
      <c r="B6" s="122"/>
      <c r="C6" s="122"/>
      <c r="D6" s="122"/>
      <c r="E6" s="122"/>
      <c r="F6" s="134"/>
      <c r="G6" s="134"/>
      <c r="H6" s="135"/>
      <c r="I6" s="134"/>
      <c r="J6" s="134"/>
      <c r="K6" s="134"/>
      <c r="L6" s="135"/>
      <c r="M6" s="189"/>
      <c r="N6" s="189"/>
      <c r="O6" s="135"/>
      <c r="P6" s="135"/>
      <c r="Q6" s="135"/>
      <c r="R6" s="135"/>
      <c r="S6" s="136"/>
      <c r="T6" s="131"/>
      <c r="U6" s="132">
        <f t="shared" ref="U6:U31" si="0">SUM(I6:T6)</f>
        <v>0</v>
      </c>
      <c r="V6" s="133"/>
      <c r="W6" s="166"/>
    </row>
    <row r="7" spans="1:23" ht="15.75">
      <c r="A7" s="121" t="s">
        <v>111</v>
      </c>
      <c r="B7" s="122"/>
      <c r="C7" s="122"/>
      <c r="D7" s="122"/>
      <c r="E7" s="122"/>
      <c r="F7" s="158">
        <v>200000</v>
      </c>
      <c r="G7" s="159">
        <f>F7/12</f>
        <v>16666.666666666668</v>
      </c>
      <c r="H7" s="130"/>
      <c r="I7" s="129">
        <f>35940+340</f>
        <v>36280</v>
      </c>
      <c r="J7" s="129">
        <v>58470</v>
      </c>
      <c r="K7" s="129">
        <v>37120</v>
      </c>
      <c r="L7" s="128">
        <v>28150</v>
      </c>
      <c r="M7" s="192">
        <v>55530</v>
      </c>
      <c r="N7" s="194">
        <v>37600</v>
      </c>
      <c r="O7" s="130"/>
      <c r="P7" s="130"/>
      <c r="Q7" s="130"/>
      <c r="R7" s="130"/>
      <c r="S7" s="131"/>
      <c r="T7" s="131"/>
      <c r="U7" s="132">
        <f>SUM(I7:T7)</f>
        <v>253150</v>
      </c>
      <c r="V7" s="133">
        <f>G7*6</f>
        <v>100000</v>
      </c>
      <c r="W7" s="165">
        <f>U7-V7</f>
        <v>153150</v>
      </c>
    </row>
    <row r="8" spans="1:23" ht="15.75">
      <c r="A8" s="121" t="s">
        <v>106</v>
      </c>
      <c r="B8" s="122"/>
      <c r="C8" s="122"/>
      <c r="D8" s="122"/>
      <c r="E8" s="122"/>
      <c r="F8" s="134"/>
      <c r="G8" s="134"/>
      <c r="H8" s="135"/>
      <c r="I8" s="137"/>
      <c r="J8" s="137"/>
      <c r="K8" s="137"/>
      <c r="L8" s="130"/>
      <c r="M8" s="188"/>
      <c r="N8" s="188"/>
      <c r="O8" s="130"/>
      <c r="P8" s="130"/>
      <c r="Q8" s="130"/>
      <c r="R8" s="130"/>
      <c r="S8" s="131"/>
      <c r="T8" s="131"/>
      <c r="U8" s="132">
        <f t="shared" si="0"/>
        <v>0</v>
      </c>
      <c r="V8" s="133"/>
      <c r="W8" s="167"/>
    </row>
    <row r="9" spans="1:23" ht="16.5" thickBot="1">
      <c r="A9" s="123" t="s">
        <v>110</v>
      </c>
      <c r="B9" s="124"/>
      <c r="C9" s="125"/>
      <c r="D9" s="125"/>
      <c r="E9" s="125"/>
      <c r="F9" s="138"/>
      <c r="G9" s="138"/>
      <c r="H9" s="139"/>
      <c r="I9" s="140">
        <f>15000+99836+10860+240</f>
        <v>125936</v>
      </c>
      <c r="J9" s="140">
        <v>15240</v>
      </c>
      <c r="K9" s="141">
        <v>15240</v>
      </c>
      <c r="L9" s="142">
        <v>107699</v>
      </c>
      <c r="M9" s="193">
        <v>26100</v>
      </c>
      <c r="N9" s="195">
        <v>15240</v>
      </c>
      <c r="O9" s="139"/>
      <c r="P9" s="139"/>
      <c r="Q9" s="143"/>
      <c r="R9" s="139"/>
      <c r="S9" s="144"/>
      <c r="T9" s="144"/>
      <c r="U9" s="145">
        <f>SUM(I9:T9)</f>
        <v>305455</v>
      </c>
      <c r="V9" s="160">
        <f>G9*5</f>
        <v>0</v>
      </c>
      <c r="W9" s="168">
        <f>U9-V9</f>
        <v>305455</v>
      </c>
    </row>
    <row r="10" spans="1:23" ht="15.75">
      <c r="A10" s="352" t="s">
        <v>98</v>
      </c>
      <c r="B10" s="353"/>
      <c r="C10" s="353"/>
      <c r="D10" s="353"/>
      <c r="E10" s="354"/>
      <c r="F10" s="118">
        <f t="shared" ref="F10:N10" si="1">SUM(F5:F9)</f>
        <v>25290303</v>
      </c>
      <c r="G10" s="119">
        <f t="shared" si="1"/>
        <v>2107525.25</v>
      </c>
      <c r="H10" s="96">
        <f>SUM(H5:H9)</f>
        <v>0</v>
      </c>
      <c r="I10" s="116">
        <f t="shared" si="1"/>
        <v>2312961</v>
      </c>
      <c r="J10" s="116">
        <f t="shared" si="1"/>
        <v>2223955</v>
      </c>
      <c r="K10" s="116">
        <f t="shared" si="1"/>
        <v>1865225</v>
      </c>
      <c r="L10" s="116">
        <f t="shared" si="1"/>
        <v>2057764</v>
      </c>
      <c r="M10" s="116">
        <f t="shared" si="1"/>
        <v>2338798</v>
      </c>
      <c r="N10" s="116">
        <f t="shared" si="1"/>
        <v>1887223</v>
      </c>
      <c r="O10" s="146"/>
      <c r="P10" s="146"/>
      <c r="Q10" s="146"/>
      <c r="R10" s="146"/>
      <c r="S10" s="147"/>
      <c r="T10" s="147"/>
      <c r="U10" s="148">
        <f>SUM(I10:T10)</f>
        <v>12685926</v>
      </c>
      <c r="V10" s="133">
        <f>G10*6</f>
        <v>12645151.5</v>
      </c>
      <c r="W10" s="169">
        <f>U10-V10</f>
        <v>40774.5</v>
      </c>
    </row>
    <row r="11" spans="1:23" ht="33" customHeight="1">
      <c r="A11" s="355" t="s">
        <v>96</v>
      </c>
      <c r="B11" s="356"/>
      <c r="C11" s="356"/>
      <c r="D11" s="356"/>
      <c r="E11" s="356"/>
      <c r="F11" s="149"/>
      <c r="G11" s="149"/>
      <c r="H11" s="89"/>
      <c r="I11" s="149"/>
      <c r="J11" s="149"/>
      <c r="K11" s="149"/>
      <c r="L11" s="89"/>
      <c r="M11" s="190"/>
      <c r="N11" s="190"/>
      <c r="O11" s="89"/>
      <c r="P11" s="89"/>
      <c r="Q11" s="89"/>
      <c r="R11" s="89"/>
      <c r="S11" s="150"/>
      <c r="T11" s="150"/>
      <c r="U11" s="161"/>
      <c r="V11" s="151"/>
      <c r="W11" s="162" t="s">
        <v>109</v>
      </c>
    </row>
    <row r="12" spans="1:23" ht="15.75">
      <c r="A12" s="71" t="s">
        <v>0</v>
      </c>
      <c r="B12" s="58"/>
      <c r="C12" s="58"/>
      <c r="D12" s="58"/>
      <c r="E12" s="58"/>
      <c r="F12" s="126">
        <v>900000</v>
      </c>
      <c r="G12" s="127">
        <f>F12/12</f>
        <v>75000</v>
      </c>
      <c r="H12" s="135"/>
      <c r="I12" s="152">
        <f ca="1">'общехоз расходы'!B55</f>
        <v>34862</v>
      </c>
      <c r="J12" s="152">
        <f ca="1">'общехоз расходы'!C55</f>
        <v>44617</v>
      </c>
      <c r="K12" s="152">
        <f ca="1">'общехоз расходы'!D55</f>
        <v>41772</v>
      </c>
      <c r="L12" s="152">
        <f ca="1">'общехоз расходы'!E55</f>
        <v>37210.130000000005</v>
      </c>
      <c r="M12" s="152">
        <f ca="1">'общехоз расходы'!F55</f>
        <v>104346.89000000001</v>
      </c>
      <c r="N12" s="152">
        <f ca="1">'общехоз расходы'!G55</f>
        <v>105524.4</v>
      </c>
      <c r="O12" s="130"/>
      <c r="P12" s="130"/>
      <c r="Q12" s="130"/>
      <c r="R12" s="130"/>
      <c r="S12" s="131"/>
      <c r="T12" s="131"/>
      <c r="U12" s="132">
        <f t="shared" si="0"/>
        <v>368332.42000000004</v>
      </c>
      <c r="V12" s="133">
        <f>G12*6</f>
        <v>450000</v>
      </c>
      <c r="W12" s="163">
        <f>V12-U12</f>
        <v>81667.579999999958</v>
      </c>
    </row>
    <row r="13" spans="1:23" ht="15.75">
      <c r="A13" s="75" t="s">
        <v>19</v>
      </c>
      <c r="B13" s="53"/>
      <c r="C13" s="53"/>
      <c r="D13" s="53"/>
      <c r="E13" s="53"/>
      <c r="F13" s="118">
        <v>160000</v>
      </c>
      <c r="G13" s="127">
        <f t="shared" ref="G13:G31" si="2">F13/12</f>
        <v>13333.333333333334</v>
      </c>
      <c r="H13" s="98"/>
      <c r="I13" s="153">
        <f ca="1">'программ обеспечение'!B17</f>
        <v>15390</v>
      </c>
      <c r="J13" s="153">
        <f ca="1">'программ обеспечение'!C17</f>
        <v>8290</v>
      </c>
      <c r="K13" s="153">
        <f ca="1">'программ обеспечение'!D17</f>
        <v>11724</v>
      </c>
      <c r="L13" s="153">
        <f ca="1">'программ обеспечение'!E17</f>
        <v>7234.38</v>
      </c>
      <c r="M13" s="153">
        <f ca="1">'программ обеспечение'!F17</f>
        <v>32200</v>
      </c>
      <c r="N13" s="153">
        <f ca="1">'программ обеспечение'!G17</f>
        <v>3000</v>
      </c>
      <c r="O13" s="146"/>
      <c r="P13" s="146"/>
      <c r="Q13" s="146"/>
      <c r="R13" s="146"/>
      <c r="S13" s="147"/>
      <c r="T13" s="147"/>
      <c r="U13" s="132">
        <f t="shared" si="0"/>
        <v>77838.38</v>
      </c>
      <c r="V13" s="133">
        <f t="shared" ref="V13:V31" si="3">G13*6</f>
        <v>80000</v>
      </c>
      <c r="W13" s="163">
        <f t="shared" ref="W13:W31" si="4">V13-U13</f>
        <v>2161.6199999999953</v>
      </c>
    </row>
    <row r="14" spans="1:23" ht="15.75">
      <c r="A14" s="71" t="s">
        <v>22</v>
      </c>
      <c r="B14" s="58"/>
      <c r="C14" s="58"/>
      <c r="D14" s="58"/>
      <c r="E14" s="81"/>
      <c r="F14" s="126">
        <v>140000</v>
      </c>
      <c r="G14" s="127">
        <f t="shared" si="2"/>
        <v>11666.666666666666</v>
      </c>
      <c r="H14" s="135"/>
      <c r="I14" s="152">
        <f ca="1">'услуги связи'!B8</f>
        <v>8235</v>
      </c>
      <c r="J14" s="152">
        <f ca="1">'услуги связи'!C8</f>
        <v>8432</v>
      </c>
      <c r="K14" s="152">
        <f ca="1">'услуги связи'!D8</f>
        <v>8166</v>
      </c>
      <c r="L14" s="152">
        <f ca="1">'услуги связи'!E8</f>
        <v>6500</v>
      </c>
      <c r="M14" s="152">
        <f ca="1">'услуги связи'!F8</f>
        <v>6500</v>
      </c>
      <c r="N14" s="152">
        <f ca="1">'услуги связи'!G8</f>
        <v>7000</v>
      </c>
      <c r="O14" s="130"/>
      <c r="P14" s="130"/>
      <c r="Q14" s="130"/>
      <c r="R14" s="130"/>
      <c r="S14" s="131"/>
      <c r="T14" s="131"/>
      <c r="U14" s="132">
        <f t="shared" si="0"/>
        <v>44833</v>
      </c>
      <c r="V14" s="133">
        <f t="shared" si="3"/>
        <v>70000</v>
      </c>
      <c r="W14" s="163">
        <f t="shared" si="4"/>
        <v>25167</v>
      </c>
    </row>
    <row r="15" spans="1:23" ht="15.75">
      <c r="A15" s="75" t="s">
        <v>23</v>
      </c>
      <c r="B15" s="53"/>
      <c r="C15" s="53"/>
      <c r="D15" s="53"/>
      <c r="E15" s="82"/>
      <c r="F15" s="118">
        <v>300000</v>
      </c>
      <c r="G15" s="127">
        <f t="shared" si="2"/>
        <v>25000</v>
      </c>
      <c r="H15" s="98"/>
      <c r="I15" s="153" t="e">
        <f ca="1">#REF!</f>
        <v>#REF!</v>
      </c>
      <c r="J15" s="153" t="e">
        <f ca="1">#REF!</f>
        <v>#REF!</v>
      </c>
      <c r="K15" s="153" t="e">
        <f ca="1">#REF!</f>
        <v>#REF!</v>
      </c>
      <c r="L15" s="153" t="e">
        <f ca="1">#REF!</f>
        <v>#REF!</v>
      </c>
      <c r="M15" s="153">
        <f ca="1">'программ обеспечение'!F19</f>
        <v>0</v>
      </c>
      <c r="N15" s="153">
        <f ca="1">'программ обеспечение'!G19</f>
        <v>0</v>
      </c>
      <c r="O15" s="146"/>
      <c r="P15" s="146"/>
      <c r="Q15" s="146"/>
      <c r="R15" s="146"/>
      <c r="S15" s="147"/>
      <c r="T15" s="147"/>
      <c r="U15" s="132" t="e">
        <f t="shared" si="0"/>
        <v>#REF!</v>
      </c>
      <c r="V15" s="133">
        <f t="shared" si="3"/>
        <v>150000</v>
      </c>
      <c r="W15" s="163" t="e">
        <f t="shared" si="4"/>
        <v>#REF!</v>
      </c>
    </row>
    <row r="16" spans="1:23" ht="15.75">
      <c r="A16" s="75" t="s">
        <v>78</v>
      </c>
      <c r="B16" s="53"/>
      <c r="C16" s="53"/>
      <c r="D16" s="53"/>
      <c r="E16" s="82"/>
      <c r="F16" s="118">
        <v>7890000</v>
      </c>
      <c r="G16" s="127">
        <f t="shared" si="2"/>
        <v>657500</v>
      </c>
      <c r="H16" s="98"/>
      <c r="I16" s="153">
        <f ca="1">'з пл'!B6</f>
        <v>629289</v>
      </c>
      <c r="J16" s="153">
        <f ca="1">'з пл'!C6</f>
        <v>690168</v>
      </c>
      <c r="K16" s="153">
        <f ca="1">'з пл'!D6</f>
        <v>537675</v>
      </c>
      <c r="L16" s="153">
        <f ca="1">'з пл'!E6</f>
        <v>515932.4</v>
      </c>
      <c r="M16" s="153">
        <f ca="1">'з пл'!F6</f>
        <v>559403.41</v>
      </c>
      <c r="N16" s="153">
        <f ca="1">'з пл'!G6</f>
        <v>564857.06000000006</v>
      </c>
      <c r="O16" s="146"/>
      <c r="P16" s="146"/>
      <c r="Q16" s="146"/>
      <c r="R16" s="146"/>
      <c r="S16" s="147"/>
      <c r="T16" s="147"/>
      <c r="U16" s="132">
        <f t="shared" si="0"/>
        <v>3497324.87</v>
      </c>
      <c r="V16" s="133">
        <f t="shared" si="3"/>
        <v>3945000</v>
      </c>
      <c r="W16" s="163">
        <f t="shared" si="4"/>
        <v>447675.12999999989</v>
      </c>
    </row>
    <row r="17" spans="1:24" ht="15.75">
      <c r="A17" s="75" t="s">
        <v>25</v>
      </c>
      <c r="B17" s="53"/>
      <c r="C17" s="53"/>
      <c r="D17" s="53"/>
      <c r="E17" s="53"/>
      <c r="F17" s="118">
        <v>500000</v>
      </c>
      <c r="G17" s="127">
        <f t="shared" si="2"/>
        <v>41666.666666666664</v>
      </c>
      <c r="H17" s="98"/>
      <c r="I17" s="153">
        <f ca="1">'премиальный фонд'!B5</f>
        <v>0</v>
      </c>
      <c r="J17" s="153">
        <f ca="1">'премиальный фонд'!C5</f>
        <v>0</v>
      </c>
      <c r="K17" s="153">
        <f ca="1">'премиальный фонд'!D5</f>
        <v>58000</v>
      </c>
      <c r="L17" s="153">
        <f ca="1">'премиальный фонд'!E5</f>
        <v>0</v>
      </c>
      <c r="M17" s="153">
        <f ca="1">'премиальный фонд'!F5</f>
        <v>116152</v>
      </c>
      <c r="N17" s="153">
        <f ca="1">'премиальный фонд'!G5</f>
        <v>0</v>
      </c>
      <c r="O17" s="146"/>
      <c r="P17" s="146"/>
      <c r="Q17" s="146"/>
      <c r="R17" s="146"/>
      <c r="S17" s="147"/>
      <c r="T17" s="147"/>
      <c r="U17" s="132">
        <f t="shared" si="0"/>
        <v>174152</v>
      </c>
      <c r="V17" s="133">
        <f t="shared" si="3"/>
        <v>250000</v>
      </c>
      <c r="W17" s="163">
        <f t="shared" si="4"/>
        <v>75848</v>
      </c>
    </row>
    <row r="18" spans="1:24" ht="15.75">
      <c r="A18" s="75" t="s">
        <v>26</v>
      </c>
      <c r="B18" s="53"/>
      <c r="C18" s="53"/>
      <c r="D18" s="53"/>
      <c r="E18" s="53"/>
      <c r="F18" s="118">
        <v>2517000</v>
      </c>
      <c r="G18" s="127">
        <f t="shared" si="2"/>
        <v>209750</v>
      </c>
      <c r="H18" s="98"/>
      <c r="I18" s="153">
        <f ca="1">'налог с ФОТ'!B5</f>
        <v>210787</v>
      </c>
      <c r="J18" s="153">
        <f ca="1">'налог с ФОТ'!C5</f>
        <v>201379</v>
      </c>
      <c r="K18" s="153">
        <f ca="1">'налог с ФОТ'!D5</f>
        <v>151376</v>
      </c>
      <c r="L18" s="153">
        <f ca="1">'налог с ФОТ'!E5</f>
        <v>159447.66</v>
      </c>
      <c r="M18" s="153">
        <f ca="1">'налог с ФОТ'!F5</f>
        <v>200851.71</v>
      </c>
      <c r="N18" s="153">
        <f ca="1">'налог с ФОТ'!G5</f>
        <v>139350.85999999999</v>
      </c>
      <c r="O18" s="146"/>
      <c r="P18" s="146"/>
      <c r="Q18" s="146"/>
      <c r="R18" s="146"/>
      <c r="S18" s="147"/>
      <c r="T18" s="147"/>
      <c r="U18" s="132">
        <f t="shared" si="0"/>
        <v>1063192.23</v>
      </c>
      <c r="V18" s="133">
        <f t="shared" si="3"/>
        <v>1258500</v>
      </c>
      <c r="W18" s="163">
        <f t="shared" si="4"/>
        <v>195307.77000000002</v>
      </c>
    </row>
    <row r="19" spans="1:24" ht="15.75">
      <c r="A19" s="75" t="s">
        <v>114</v>
      </c>
      <c r="B19" s="53"/>
      <c r="C19" s="53"/>
      <c r="D19" s="53"/>
      <c r="E19" s="53"/>
      <c r="F19" s="118">
        <v>200000</v>
      </c>
      <c r="G19" s="127">
        <f t="shared" si="2"/>
        <v>16666.666666666668</v>
      </c>
      <c r="H19" s="98"/>
      <c r="I19" s="153">
        <f ca="1">'приобрт инвентаря и оборуд'!B13</f>
        <v>18490</v>
      </c>
      <c r="J19" s="153">
        <f ca="1">'приобрт инвентаря и оборуд'!C13</f>
        <v>25716</v>
      </c>
      <c r="K19" s="153">
        <f ca="1">'приобрт инвентаря и оборуд'!D13</f>
        <v>0</v>
      </c>
      <c r="L19" s="153">
        <f ca="1">'приобрт инвентаря и оборуд'!E13</f>
        <v>4990</v>
      </c>
      <c r="M19" s="153">
        <f ca="1">'приобрт инвентаря и оборуд'!F13</f>
        <v>0</v>
      </c>
      <c r="N19" s="153">
        <f ca="1">'приобрт инвентаря и оборуд'!G13</f>
        <v>20050</v>
      </c>
      <c r="O19" s="146"/>
      <c r="P19" s="146"/>
      <c r="Q19" s="146"/>
      <c r="R19" s="146"/>
      <c r="S19" s="147"/>
      <c r="T19" s="147"/>
      <c r="U19" s="132">
        <f t="shared" si="0"/>
        <v>69246</v>
      </c>
      <c r="V19" s="133">
        <f t="shared" si="3"/>
        <v>100000</v>
      </c>
      <c r="W19" s="163">
        <f t="shared" si="4"/>
        <v>30754</v>
      </c>
    </row>
    <row r="20" spans="1:24" ht="15.75">
      <c r="A20" s="71" t="s">
        <v>28</v>
      </c>
      <c r="B20" s="58"/>
      <c r="C20" s="58"/>
      <c r="D20" s="58"/>
      <c r="E20" s="58"/>
      <c r="F20" s="126">
        <v>1950000</v>
      </c>
      <c r="G20" s="127">
        <f t="shared" si="2"/>
        <v>162500</v>
      </c>
      <c r="H20" s="135"/>
      <c r="I20" s="152">
        <f ca="1">'вывоз мусора'!B11</f>
        <v>263300</v>
      </c>
      <c r="J20" s="152">
        <f ca="1">'вывоз мусора'!C11</f>
        <v>271868</v>
      </c>
      <c r="K20" s="152">
        <f ca="1">'вывоз мусора'!D11</f>
        <v>280000</v>
      </c>
      <c r="L20" s="152">
        <f ca="1">'вывоз мусора'!E11</f>
        <v>280000</v>
      </c>
      <c r="M20" s="152">
        <f ca="1">'вывоз мусора'!F11</f>
        <v>497800</v>
      </c>
      <c r="N20" s="152">
        <f ca="1">'вывоз мусора'!G11</f>
        <v>540000</v>
      </c>
      <c r="O20" s="130"/>
      <c r="P20" s="130"/>
      <c r="Q20" s="130"/>
      <c r="R20" s="130"/>
      <c r="S20" s="131"/>
      <c r="T20" s="131"/>
      <c r="U20" s="132">
        <f t="shared" si="0"/>
        <v>2132968</v>
      </c>
      <c r="V20" s="133">
        <f t="shared" si="3"/>
        <v>975000</v>
      </c>
      <c r="W20" s="163">
        <f t="shared" si="4"/>
        <v>-1157968</v>
      </c>
    </row>
    <row r="21" spans="1:24" ht="15.75">
      <c r="A21" s="71" t="s">
        <v>32</v>
      </c>
      <c r="B21" s="58"/>
      <c r="C21" s="58"/>
      <c r="D21" s="58"/>
      <c r="E21" s="81"/>
      <c r="F21" s="126">
        <v>7400000</v>
      </c>
      <c r="G21" s="127">
        <f t="shared" si="2"/>
        <v>616666.66666666663</v>
      </c>
      <c r="H21" s="135"/>
      <c r="I21" s="152">
        <f ca="1">'сод охраны'!B7</f>
        <v>570000</v>
      </c>
      <c r="J21" s="152">
        <f ca="1">'сод охраны'!C7</f>
        <v>570000</v>
      </c>
      <c r="K21" s="152">
        <f ca="1">'сод охраны'!D7</f>
        <v>570000</v>
      </c>
      <c r="L21" s="152">
        <f ca="1">'сод охраны'!E7</f>
        <v>570000</v>
      </c>
      <c r="M21" s="152">
        <f ca="1">'сод охраны'!F7</f>
        <v>798234</v>
      </c>
      <c r="N21" s="152">
        <f ca="1">'сод охраны'!G7</f>
        <v>570000</v>
      </c>
      <c r="O21" s="130"/>
      <c r="P21" s="130"/>
      <c r="Q21" s="130"/>
      <c r="R21" s="130"/>
      <c r="S21" s="131"/>
      <c r="T21" s="131"/>
      <c r="U21" s="132">
        <f t="shared" si="0"/>
        <v>3648234</v>
      </c>
      <c r="V21" s="133">
        <f t="shared" si="3"/>
        <v>3700000</v>
      </c>
      <c r="W21" s="163">
        <f t="shared" si="4"/>
        <v>51766</v>
      </c>
    </row>
    <row r="22" spans="1:24" ht="15.75">
      <c r="A22" s="75" t="s">
        <v>34</v>
      </c>
      <c r="B22" s="53"/>
      <c r="C22" s="53"/>
      <c r="D22" s="53"/>
      <c r="E22" s="53"/>
      <c r="F22" s="118">
        <v>230000</v>
      </c>
      <c r="G22" s="127">
        <f t="shared" si="2"/>
        <v>19166.666666666668</v>
      </c>
      <c r="H22" s="98"/>
      <c r="I22" s="153">
        <f ca="1">'содерж газ оборуд'!B6</f>
        <v>17930</v>
      </c>
      <c r="J22" s="153">
        <f ca="1">'содерж газ оборуд'!C6</f>
        <v>17930</v>
      </c>
      <c r="K22" s="153">
        <f ca="1">'содерж газ оборуд'!D6</f>
        <v>17930</v>
      </c>
      <c r="L22" s="153">
        <f ca="1">'содерж газ оборуд'!E6</f>
        <v>17930</v>
      </c>
      <c r="M22" s="153">
        <f ca="1">'содерж газ оборуд'!F6</f>
        <v>17930</v>
      </c>
      <c r="N22" s="153">
        <f ca="1">'содерж газ оборуд'!G6</f>
        <v>17930</v>
      </c>
      <c r="O22" s="146"/>
      <c r="P22" s="146"/>
      <c r="Q22" s="146"/>
      <c r="R22" s="146"/>
      <c r="S22" s="147"/>
      <c r="T22" s="147"/>
      <c r="U22" s="132">
        <f t="shared" si="0"/>
        <v>107580</v>
      </c>
      <c r="V22" s="133">
        <f t="shared" si="3"/>
        <v>115000</v>
      </c>
      <c r="W22" s="163">
        <f t="shared" si="4"/>
        <v>7420</v>
      </c>
    </row>
    <row r="23" spans="1:24" ht="15.75">
      <c r="A23" s="71" t="s">
        <v>36</v>
      </c>
      <c r="B23" s="58"/>
      <c r="C23" s="58"/>
      <c r="D23" s="58"/>
      <c r="E23" s="58"/>
      <c r="F23" s="126">
        <v>1240000</v>
      </c>
      <c r="G23" s="127">
        <f t="shared" si="2"/>
        <v>103333.33333333333</v>
      </c>
      <c r="H23" s="135"/>
      <c r="I23" s="152">
        <f ca="1">'сод сетей водоснабжения'!B26</f>
        <v>8104</v>
      </c>
      <c r="J23" s="152">
        <f ca="1">'сод сетей водоснабжения'!C26</f>
        <v>29738</v>
      </c>
      <c r="K23" s="152">
        <f ca="1">'сод сетей водоснабжения'!D26</f>
        <v>0</v>
      </c>
      <c r="L23" s="152">
        <f ca="1">'сод сетей водоснабжения'!E26</f>
        <v>0</v>
      </c>
      <c r="M23" s="152">
        <f ca="1">'сод сетей водоснабжения'!F26</f>
        <v>34452.979999999996</v>
      </c>
      <c r="N23" s="152">
        <f ca="1">'сод сетей водоснабжения'!G26</f>
        <v>859.8</v>
      </c>
      <c r="O23" s="130"/>
      <c r="P23" s="130"/>
      <c r="Q23" s="130"/>
      <c r="R23" s="130"/>
      <c r="S23" s="131"/>
      <c r="T23" s="131"/>
      <c r="U23" s="132">
        <f t="shared" si="0"/>
        <v>73154.78</v>
      </c>
      <c r="V23" s="133">
        <f t="shared" si="3"/>
        <v>620000</v>
      </c>
      <c r="W23" s="163">
        <f t="shared" si="4"/>
        <v>546845.22</v>
      </c>
    </row>
    <row r="24" spans="1:24" ht="15.75">
      <c r="A24" s="71" t="s">
        <v>107</v>
      </c>
      <c r="B24" s="58"/>
      <c r="C24" s="58"/>
      <c r="D24" s="58"/>
      <c r="E24" s="58"/>
      <c r="F24" s="126">
        <f>250000+480000</f>
        <v>730000</v>
      </c>
      <c r="G24" s="127">
        <f t="shared" si="2"/>
        <v>60833.333333333336</v>
      </c>
      <c r="H24" s="135"/>
      <c r="I24" s="152">
        <f ca="1">'сод сетей канализации'!B22</f>
        <v>102545</v>
      </c>
      <c r="J24" s="152">
        <f ca="1">'сод сетей канализации'!C22</f>
        <v>70761.03</v>
      </c>
      <c r="K24" s="152">
        <f ca="1">'сод сетей канализации'!D22</f>
        <v>32000</v>
      </c>
      <c r="L24" s="152">
        <f ca="1">'сод сетей канализации'!E22</f>
        <v>32000</v>
      </c>
      <c r="M24" s="152">
        <f ca="1">'сод сетей канализации'!F22</f>
        <v>1643.2</v>
      </c>
      <c r="N24" s="152">
        <f ca="1">'сод сетей канализации'!G22</f>
        <v>17725</v>
      </c>
      <c r="O24" s="130"/>
      <c r="P24" s="130"/>
      <c r="Q24" s="130"/>
      <c r="R24" s="130"/>
      <c r="S24" s="131"/>
      <c r="T24" s="131"/>
      <c r="U24" s="132">
        <f t="shared" si="0"/>
        <v>256674.23</v>
      </c>
      <c r="V24" s="133">
        <f t="shared" si="3"/>
        <v>365000</v>
      </c>
      <c r="W24" s="163">
        <f t="shared" si="4"/>
        <v>108325.76999999999</v>
      </c>
    </row>
    <row r="25" spans="1:24" ht="15.75">
      <c r="A25" s="71" t="s">
        <v>81</v>
      </c>
      <c r="B25" s="58"/>
      <c r="C25" s="58"/>
      <c r="D25" s="58"/>
      <c r="E25" s="58"/>
      <c r="F25" s="126">
        <v>250000</v>
      </c>
      <c r="G25" s="127">
        <f t="shared" si="2"/>
        <v>20833.333333333332</v>
      </c>
      <c r="H25" s="135"/>
      <c r="I25" s="152">
        <f ca="1">'сод сетей электроснабжения'!B21</f>
        <v>16768</v>
      </c>
      <c r="J25" s="152">
        <f ca="1">'сод сетей электроснабжения'!C21</f>
        <v>3827</v>
      </c>
      <c r="K25" s="152">
        <f ca="1">'сод сетей электроснабжения'!D21</f>
        <v>2602</v>
      </c>
      <c r="L25" s="152">
        <f ca="1">'сод сетей электроснабжения'!E21</f>
        <v>0</v>
      </c>
      <c r="M25" s="152">
        <f ca="1">'сод сетей электроснабжения'!F21</f>
        <v>2816.93</v>
      </c>
      <c r="N25" s="152">
        <f ca="1">'сод сетей электроснабжения'!G21</f>
        <v>38673.279999999999</v>
      </c>
      <c r="O25" s="130"/>
      <c r="P25" s="130"/>
      <c r="Q25" s="130"/>
      <c r="R25" s="130"/>
      <c r="S25" s="131"/>
      <c r="T25" s="131"/>
      <c r="U25" s="132">
        <f t="shared" si="0"/>
        <v>64687.21</v>
      </c>
      <c r="V25" s="133">
        <f t="shared" si="3"/>
        <v>125000</v>
      </c>
      <c r="W25" s="163">
        <f t="shared" si="4"/>
        <v>60312.79</v>
      </c>
    </row>
    <row r="26" spans="1:24" ht="15.75">
      <c r="A26" s="71" t="s">
        <v>82</v>
      </c>
      <c r="B26" s="58"/>
      <c r="C26" s="58"/>
      <c r="D26" s="58"/>
      <c r="E26" s="58"/>
      <c r="F26" s="126">
        <v>1800000</v>
      </c>
      <c r="G26" s="127">
        <f t="shared" si="2"/>
        <v>150000</v>
      </c>
      <c r="H26" s="135"/>
      <c r="I26" s="152">
        <f ca="1">'электроэнергия на общ нужды'!B6</f>
        <v>119463</v>
      </c>
      <c r="J26" s="152">
        <f ca="1">'электроэнергия на общ нужды'!C6</f>
        <v>99476</v>
      </c>
      <c r="K26" s="152">
        <f ca="1">'электроэнергия на общ нужды'!D6</f>
        <v>149510</v>
      </c>
      <c r="L26" s="152">
        <f ca="1">'электроэнергия на общ нужды'!E6</f>
        <v>148000</v>
      </c>
      <c r="M26" s="152">
        <f ca="1">'электроэнергия на общ нужды'!F6</f>
        <v>130757</v>
      </c>
      <c r="N26" s="152">
        <f ca="1">'электроэнергия на общ нужды'!G6</f>
        <v>248946.88</v>
      </c>
      <c r="O26" s="130"/>
      <c r="P26" s="130"/>
      <c r="Q26" s="130"/>
      <c r="R26" s="130"/>
      <c r="S26" s="131"/>
      <c r="T26" s="131"/>
      <c r="U26" s="132">
        <f t="shared" si="0"/>
        <v>896152.88</v>
      </c>
      <c r="V26" s="133">
        <f t="shared" si="3"/>
        <v>900000</v>
      </c>
      <c r="W26" s="163">
        <f t="shared" si="4"/>
        <v>3847.1199999999953</v>
      </c>
    </row>
    <row r="27" spans="1:24" ht="15.75">
      <c r="A27" s="71" t="s">
        <v>44</v>
      </c>
      <c r="B27" s="58"/>
      <c r="C27" s="58"/>
      <c r="D27" s="58"/>
      <c r="E27" s="58"/>
      <c r="F27" s="126">
        <v>1700000</v>
      </c>
      <c r="G27" s="127">
        <f t="shared" si="2"/>
        <v>141666.66666666666</v>
      </c>
      <c r="H27" s="135"/>
      <c r="I27" s="152">
        <f ca="1">'технич потери в сетях'!B9</f>
        <v>0</v>
      </c>
      <c r="J27" s="152">
        <f ca="1">'технич потери в сетях'!C9</f>
        <v>0</v>
      </c>
      <c r="K27" s="152">
        <f ca="1">'технич потери в сетях'!D9</f>
        <v>0</v>
      </c>
      <c r="L27" s="152">
        <f ca="1">'технич потери в сетях'!E9</f>
        <v>0</v>
      </c>
      <c r="M27" s="152">
        <f ca="1">'технич потери в сетях'!F9</f>
        <v>0</v>
      </c>
      <c r="N27" s="152">
        <f ca="1">'технич потери в сетях'!G9</f>
        <v>0</v>
      </c>
      <c r="O27" s="130"/>
      <c r="P27" s="130"/>
      <c r="Q27" s="130"/>
      <c r="R27" s="130"/>
      <c r="S27" s="131"/>
      <c r="T27" s="131"/>
      <c r="U27" s="132">
        <f t="shared" si="0"/>
        <v>0</v>
      </c>
      <c r="V27" s="133">
        <f t="shared" si="3"/>
        <v>850000</v>
      </c>
      <c r="W27" s="163">
        <f t="shared" si="4"/>
        <v>850000</v>
      </c>
    </row>
    <row r="28" spans="1:24" ht="15.75">
      <c r="A28" s="71" t="s">
        <v>116</v>
      </c>
      <c r="B28" s="58"/>
      <c r="C28" s="58"/>
      <c r="D28" s="58"/>
      <c r="E28" s="58"/>
      <c r="F28" s="126">
        <v>600000</v>
      </c>
      <c r="G28" s="127">
        <f t="shared" si="2"/>
        <v>50000</v>
      </c>
      <c r="H28" s="135"/>
      <c r="I28" s="152">
        <f ca="1">'содерж дорог'!B35</f>
        <v>22105</v>
      </c>
      <c r="J28" s="152">
        <f ca="1">'содерж дорог'!C35</f>
        <v>17559</v>
      </c>
      <c r="K28" s="152">
        <f ca="1">'содерж дорог'!D35</f>
        <v>0</v>
      </c>
      <c r="L28" s="152">
        <f ca="1">'содерж дорог'!E35</f>
        <v>28373.02</v>
      </c>
      <c r="M28" s="152">
        <f ca="1">'содерж дорог'!F35</f>
        <v>21307.599999999999</v>
      </c>
      <c r="N28" s="152">
        <f ca="1">'содерж дорог'!G35</f>
        <v>41498</v>
      </c>
      <c r="O28" s="130"/>
      <c r="P28" s="130"/>
      <c r="Q28" s="130"/>
      <c r="R28" s="130"/>
      <c r="S28" s="131"/>
      <c r="T28" s="131"/>
      <c r="U28" s="132">
        <f t="shared" si="0"/>
        <v>130842.62</v>
      </c>
      <c r="V28" s="133">
        <f t="shared" si="3"/>
        <v>300000</v>
      </c>
      <c r="W28" s="163">
        <f t="shared" si="4"/>
        <v>169157.38</v>
      </c>
    </row>
    <row r="29" spans="1:24" ht="15.75">
      <c r="A29" s="71" t="s">
        <v>84</v>
      </c>
      <c r="B29" s="58"/>
      <c r="C29" s="58"/>
      <c r="D29" s="58"/>
      <c r="E29" s="58"/>
      <c r="F29" s="126">
        <v>250000</v>
      </c>
      <c r="G29" s="127">
        <f t="shared" si="2"/>
        <v>20833.333333333332</v>
      </c>
      <c r="H29" s="135"/>
      <c r="I29" s="152">
        <f ca="1">благоустройство!B28</f>
        <v>43597</v>
      </c>
      <c r="J29" s="152">
        <f ca="1">благоустройство!C28</f>
        <v>24105</v>
      </c>
      <c r="K29" s="152">
        <f ca="1">благоустройство!D28</f>
        <v>10769</v>
      </c>
      <c r="L29" s="152">
        <f ca="1">благоустройство!E28</f>
        <v>145734</v>
      </c>
      <c r="M29" s="152">
        <f ca="1">благоустройство!F28</f>
        <v>91427.6</v>
      </c>
      <c r="N29" s="152">
        <f ca="1">благоустройство!G28</f>
        <v>0</v>
      </c>
      <c r="O29" s="130"/>
      <c r="P29" s="130"/>
      <c r="Q29" s="130"/>
      <c r="R29" s="130"/>
      <c r="S29" s="131"/>
      <c r="T29" s="131"/>
      <c r="U29" s="132">
        <f t="shared" si="0"/>
        <v>315632.59999999998</v>
      </c>
      <c r="V29" s="133">
        <f t="shared" si="3"/>
        <v>125000</v>
      </c>
      <c r="W29" s="163">
        <f t="shared" si="4"/>
        <v>-190632.59999999998</v>
      </c>
    </row>
    <row r="30" spans="1:24" ht="15.75">
      <c r="A30" s="71" t="s">
        <v>115</v>
      </c>
      <c r="B30" s="58"/>
      <c r="C30" s="58"/>
      <c r="D30" s="58"/>
      <c r="E30" s="58"/>
      <c r="F30" s="126">
        <v>719200</v>
      </c>
      <c r="G30" s="127">
        <f t="shared" si="2"/>
        <v>59933.333333333336</v>
      </c>
      <c r="H30" s="135"/>
      <c r="I30" s="152" t="e">
        <f>#REF!</f>
        <v>#REF!</v>
      </c>
      <c r="J30" s="152" t="e">
        <f>#REF!</f>
        <v>#REF!</v>
      </c>
      <c r="K30" s="152" t="e">
        <f>#REF!</f>
        <v>#REF!</v>
      </c>
      <c r="L30" s="152" t="e">
        <f>#REF!</f>
        <v>#REF!</v>
      </c>
      <c r="M30" s="152" t="e">
        <f>#REF!</f>
        <v>#REF!</v>
      </c>
      <c r="N30" s="152" t="e">
        <f>#REF!</f>
        <v>#REF!</v>
      </c>
      <c r="O30" s="130"/>
      <c r="P30" s="130"/>
      <c r="Q30" s="130"/>
      <c r="R30" s="130"/>
      <c r="S30" s="131"/>
      <c r="T30" s="131"/>
      <c r="U30" s="132" t="e">
        <f t="shared" si="0"/>
        <v>#REF!</v>
      </c>
      <c r="V30" s="133">
        <f t="shared" si="3"/>
        <v>359600</v>
      </c>
      <c r="W30" s="163" t="e">
        <f t="shared" si="4"/>
        <v>#REF!</v>
      </c>
    </row>
    <row r="31" spans="1:24" ht="16.5" thickBot="1">
      <c r="A31" s="99" t="s">
        <v>86</v>
      </c>
      <c r="B31" s="97"/>
      <c r="C31" s="97"/>
      <c r="D31" s="97"/>
      <c r="E31" s="97"/>
      <c r="F31" s="154">
        <v>1473800</v>
      </c>
      <c r="G31" s="155">
        <f t="shared" si="2"/>
        <v>122816.66666666667</v>
      </c>
      <c r="H31" s="139"/>
      <c r="I31" s="156">
        <f ca="1">'резервный фонд'!B27</f>
        <v>0</v>
      </c>
      <c r="J31" s="156">
        <f ca="1">'резервный фонд'!C27</f>
        <v>0</v>
      </c>
      <c r="K31" s="156">
        <f ca="1">'резервный фонд'!D27</f>
        <v>0</v>
      </c>
      <c r="L31" s="156">
        <f ca="1">'резервный фонд'!E27</f>
        <v>90754.55</v>
      </c>
      <c r="M31" s="156">
        <f ca="1">'резервный фонд'!F27</f>
        <v>40000</v>
      </c>
      <c r="N31" s="156">
        <f ca="1">'резервный фонд'!G27</f>
        <v>336581</v>
      </c>
      <c r="O31" s="143"/>
      <c r="P31" s="143"/>
      <c r="Q31" s="143"/>
      <c r="R31" s="143"/>
      <c r="S31" s="157"/>
      <c r="T31" s="157"/>
      <c r="U31" s="145">
        <f t="shared" si="0"/>
        <v>467335.55</v>
      </c>
      <c r="V31" s="133">
        <f t="shared" si="3"/>
        <v>736900</v>
      </c>
      <c r="W31" s="164">
        <f t="shared" si="4"/>
        <v>269564.45</v>
      </c>
      <c r="X31" s="49"/>
    </row>
    <row r="32" spans="1:24" ht="15.75">
      <c r="A32" s="342" t="s">
        <v>99</v>
      </c>
      <c r="B32" s="343"/>
      <c r="C32" s="343"/>
      <c r="D32" s="343"/>
      <c r="E32" s="344"/>
      <c r="F32" s="118">
        <f>SUM(F12:F31)</f>
        <v>30950000</v>
      </c>
      <c r="G32" s="119">
        <f>SUM(G12:G31)</f>
        <v>2579166.6666666665</v>
      </c>
      <c r="H32" s="98"/>
      <c r="I32" s="117" t="e">
        <f>SUM(I12:I31)</f>
        <v>#REF!</v>
      </c>
      <c r="J32" s="117" t="e">
        <f>SUM(J12:J31)</f>
        <v>#REF!</v>
      </c>
      <c r="K32" s="117" t="e">
        <f t="shared" ref="K32:U32" si="5">SUM(K12:K31)</f>
        <v>#REF!</v>
      </c>
      <c r="L32" s="170" t="e">
        <f t="shared" si="5"/>
        <v>#REF!</v>
      </c>
      <c r="M32" s="191" t="e">
        <f t="shared" si="5"/>
        <v>#REF!</v>
      </c>
      <c r="N32" s="191" t="e">
        <f t="shared" si="5"/>
        <v>#REF!</v>
      </c>
      <c r="O32" s="146">
        <f t="shared" si="5"/>
        <v>0</v>
      </c>
      <c r="P32" s="146">
        <f t="shared" si="5"/>
        <v>0</v>
      </c>
      <c r="Q32" s="146">
        <f t="shared" si="5"/>
        <v>0</v>
      </c>
      <c r="R32" s="146">
        <f t="shared" si="5"/>
        <v>0</v>
      </c>
      <c r="S32" s="147">
        <f t="shared" si="5"/>
        <v>0</v>
      </c>
      <c r="T32" s="147">
        <f t="shared" si="5"/>
        <v>0</v>
      </c>
      <c r="U32" s="148" t="e">
        <f t="shared" si="5"/>
        <v>#REF!</v>
      </c>
      <c r="V32" s="133">
        <f>G32*5</f>
        <v>12895833.333333332</v>
      </c>
      <c r="W32" s="171" t="e">
        <f>SUM(W12:W31)</f>
        <v>#REF!</v>
      </c>
    </row>
    <row r="34" spans="1:23">
      <c r="A34" s="345" t="s">
        <v>119</v>
      </c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183"/>
      <c r="W34" s="183"/>
    </row>
    <row r="35" spans="1:23">
      <c r="A35" s="346" t="s">
        <v>120</v>
      </c>
      <c r="B35" s="347"/>
      <c r="C35" s="347"/>
      <c r="D35" s="347"/>
      <c r="E35" s="347"/>
      <c r="F35" s="348"/>
      <c r="G35" s="348"/>
      <c r="H35" s="347"/>
      <c r="I35" s="348"/>
      <c r="J35" s="348"/>
      <c r="K35" s="348"/>
      <c r="L35" s="347"/>
      <c r="M35" s="185"/>
      <c r="N35" s="185"/>
      <c r="O35" s="185"/>
      <c r="P35" s="185"/>
      <c r="Q35" s="185"/>
      <c r="R35" s="185"/>
      <c r="S35" s="185"/>
      <c r="T35" s="185"/>
      <c r="U35" s="186"/>
      <c r="V35" s="183"/>
      <c r="W35" s="183"/>
    </row>
    <row r="36" spans="1:23">
      <c r="A36" s="329" t="s">
        <v>127</v>
      </c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1"/>
      <c r="V36" s="183"/>
      <c r="W36" s="183"/>
    </row>
    <row r="37" spans="1:23">
      <c r="A37" s="184"/>
      <c r="B37" s="184"/>
      <c r="C37" s="184"/>
      <c r="D37" s="184"/>
      <c r="E37" s="184"/>
      <c r="F37" s="183"/>
      <c r="G37" s="183"/>
      <c r="H37" s="184"/>
      <c r="I37" s="183"/>
      <c r="J37" s="183"/>
      <c r="K37" s="183"/>
      <c r="L37" s="184"/>
      <c r="M37" s="184"/>
      <c r="N37" s="184"/>
      <c r="O37" s="184"/>
      <c r="P37" s="184"/>
      <c r="Q37" s="184"/>
      <c r="R37" s="184"/>
      <c r="S37" s="184"/>
      <c r="T37" s="184"/>
      <c r="U37" s="183"/>
      <c r="V37" s="183"/>
      <c r="W37" s="183"/>
    </row>
    <row r="38" spans="1:23">
      <c r="A38" s="332"/>
      <c r="B38" s="333"/>
      <c r="C38" s="333"/>
      <c r="D38" s="333"/>
      <c r="E38" s="333"/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333"/>
      <c r="Q38" s="333"/>
      <c r="R38" s="333"/>
      <c r="S38" s="333"/>
      <c r="T38" s="333"/>
      <c r="U38" s="334"/>
      <c r="V38" s="183"/>
      <c r="W38" s="183"/>
    </row>
    <row r="39" spans="1:23">
      <c r="A39" s="335"/>
      <c r="B39" s="336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7"/>
      <c r="V39" s="183"/>
      <c r="W39" s="183"/>
    </row>
    <row r="40" spans="1:23">
      <c r="A40" s="184"/>
      <c r="B40" s="184"/>
      <c r="C40" s="184"/>
      <c r="D40" s="184"/>
      <c r="E40" s="184"/>
      <c r="F40" s="183"/>
      <c r="G40" s="183"/>
      <c r="H40" s="184"/>
      <c r="I40" s="183"/>
      <c r="J40" s="183"/>
      <c r="K40" s="183"/>
      <c r="L40" s="184"/>
      <c r="M40" s="184"/>
      <c r="N40" s="184"/>
      <c r="O40" s="184"/>
      <c r="P40" s="184"/>
      <c r="Q40" s="184"/>
      <c r="R40" s="184"/>
      <c r="S40" s="184"/>
      <c r="T40" s="184"/>
      <c r="U40" s="183"/>
      <c r="V40" s="183"/>
      <c r="W40" s="183"/>
    </row>
    <row r="41" spans="1:23">
      <c r="A41" s="184"/>
      <c r="B41" s="184"/>
      <c r="C41" s="184"/>
      <c r="D41" s="184"/>
      <c r="E41" s="184"/>
      <c r="F41" s="183"/>
      <c r="G41" s="183"/>
      <c r="H41" s="184"/>
      <c r="I41" s="183"/>
      <c r="J41" s="183"/>
      <c r="K41" s="183"/>
      <c r="L41" s="184"/>
      <c r="M41" s="184"/>
      <c r="N41" s="184"/>
      <c r="O41" s="184"/>
      <c r="P41" s="184"/>
      <c r="Q41" s="184"/>
      <c r="R41" s="184"/>
      <c r="S41" s="184"/>
      <c r="T41" s="184"/>
      <c r="U41" s="183"/>
      <c r="V41" s="183"/>
      <c r="W41" s="183"/>
    </row>
    <row r="42" spans="1:23">
      <c r="A42" s="184"/>
      <c r="B42" s="184"/>
      <c r="C42" s="184"/>
      <c r="D42" s="184"/>
      <c r="E42" s="184"/>
      <c r="F42" s="183"/>
      <c r="G42" s="183"/>
      <c r="H42" s="184"/>
      <c r="I42" s="183"/>
      <c r="J42" s="183"/>
      <c r="K42" s="183"/>
      <c r="L42" s="184"/>
      <c r="M42" s="184"/>
      <c r="N42" s="184"/>
      <c r="O42" s="184"/>
      <c r="P42" s="184"/>
      <c r="Q42" s="184"/>
      <c r="R42" s="184"/>
      <c r="S42" s="184"/>
      <c r="T42" s="184"/>
      <c r="U42" s="183"/>
      <c r="V42" s="183"/>
      <c r="W42" s="183"/>
    </row>
    <row r="43" spans="1:23">
      <c r="A43" s="184"/>
      <c r="B43" s="184"/>
      <c r="C43" s="184"/>
      <c r="D43" s="184"/>
      <c r="E43" s="184"/>
      <c r="F43" s="183"/>
      <c r="G43" s="183"/>
      <c r="H43" s="184"/>
      <c r="I43" s="183"/>
      <c r="J43" s="183"/>
      <c r="K43" s="183"/>
      <c r="L43" s="184"/>
      <c r="M43" s="184"/>
      <c r="N43" s="184"/>
      <c r="O43" s="184"/>
      <c r="P43" s="184"/>
      <c r="Q43" s="184"/>
      <c r="R43" s="184"/>
      <c r="S43" s="184"/>
      <c r="T43" s="184"/>
      <c r="U43" s="183"/>
      <c r="V43" s="183"/>
      <c r="W43" s="183"/>
    </row>
    <row r="44" spans="1:23">
      <c r="A44" s="184"/>
      <c r="B44" s="184"/>
      <c r="C44" s="184"/>
      <c r="D44" s="184"/>
      <c r="E44" s="184"/>
      <c r="F44" s="183"/>
      <c r="G44" s="183"/>
      <c r="H44" s="184"/>
      <c r="I44" s="183"/>
      <c r="J44" s="183"/>
      <c r="K44" s="183"/>
      <c r="L44" s="184"/>
      <c r="M44" s="184"/>
      <c r="N44" s="184"/>
      <c r="O44" s="184"/>
      <c r="P44" s="184"/>
      <c r="Q44" s="184"/>
      <c r="R44" s="184"/>
      <c r="S44" s="184"/>
      <c r="T44" s="184"/>
      <c r="U44" s="183"/>
      <c r="V44" s="183"/>
      <c r="W44" s="183"/>
    </row>
    <row r="45" spans="1:23">
      <c r="A45" s="184"/>
      <c r="B45" s="184"/>
      <c r="C45" s="184"/>
      <c r="D45" s="184"/>
      <c r="E45" s="184"/>
      <c r="F45" s="183"/>
      <c r="G45" s="183"/>
      <c r="H45" s="184"/>
      <c r="I45" s="183"/>
      <c r="J45" s="183"/>
      <c r="K45" s="183"/>
      <c r="L45" s="184"/>
      <c r="M45" s="184"/>
      <c r="N45" s="184"/>
      <c r="O45" s="184"/>
      <c r="P45" s="184"/>
      <c r="Q45" s="184"/>
      <c r="R45" s="184"/>
      <c r="S45" s="184"/>
      <c r="T45" s="184"/>
      <c r="U45" s="183"/>
      <c r="V45" s="183"/>
      <c r="W45" s="183"/>
    </row>
    <row r="46" spans="1:23">
      <c r="A46" s="184"/>
      <c r="B46" s="184"/>
      <c r="C46" s="184"/>
      <c r="D46" s="184"/>
      <c r="E46" s="184"/>
      <c r="F46" s="183"/>
      <c r="G46" s="183"/>
      <c r="H46" s="184"/>
      <c r="I46" s="183"/>
      <c r="J46" s="183"/>
      <c r="K46" s="183"/>
      <c r="L46" s="184"/>
      <c r="M46" s="184"/>
      <c r="N46" s="184"/>
      <c r="O46" s="184"/>
      <c r="P46" s="184"/>
      <c r="Q46" s="184"/>
      <c r="R46" s="184"/>
      <c r="S46" s="184"/>
      <c r="T46" s="184"/>
      <c r="U46" s="183"/>
      <c r="V46" s="183"/>
      <c r="W46" s="183"/>
    </row>
    <row r="47" spans="1:23">
      <c r="A47" s="184"/>
      <c r="B47" s="184"/>
      <c r="C47" s="184"/>
      <c r="D47" s="184"/>
      <c r="E47" s="184"/>
      <c r="F47" s="183"/>
      <c r="G47" s="183"/>
      <c r="H47" s="184"/>
      <c r="I47" s="183"/>
      <c r="J47" s="183"/>
      <c r="K47" s="183"/>
      <c r="L47" s="184"/>
      <c r="M47" s="184"/>
      <c r="N47" s="184"/>
      <c r="O47" s="184"/>
      <c r="P47" s="184"/>
      <c r="Q47" s="184"/>
      <c r="R47" s="184"/>
      <c r="S47" s="184"/>
      <c r="T47" s="184"/>
      <c r="U47" s="183"/>
      <c r="V47" s="183"/>
      <c r="W47" s="183"/>
    </row>
    <row r="48" spans="1:23">
      <c r="A48" s="184"/>
      <c r="B48" s="184"/>
      <c r="C48" s="184"/>
      <c r="D48" s="184"/>
      <c r="E48" s="184"/>
      <c r="F48" s="183"/>
      <c r="G48" s="183"/>
      <c r="H48" s="184"/>
      <c r="I48" s="183"/>
      <c r="J48" s="183"/>
      <c r="K48" s="183"/>
      <c r="L48" s="184"/>
      <c r="M48" s="184"/>
      <c r="N48" s="184"/>
      <c r="O48" s="184"/>
      <c r="P48" s="184"/>
      <c r="Q48" s="184"/>
      <c r="R48" s="184"/>
      <c r="S48" s="184"/>
      <c r="T48" s="184"/>
      <c r="U48" s="183"/>
      <c r="V48" s="183"/>
      <c r="W48" s="183"/>
    </row>
    <row r="49" spans="1:23">
      <c r="A49" s="184"/>
      <c r="B49" s="184"/>
      <c r="C49" s="184"/>
      <c r="D49" s="184"/>
      <c r="E49" s="184"/>
      <c r="F49" s="183"/>
      <c r="G49" s="183"/>
      <c r="H49" s="184"/>
      <c r="I49" s="183"/>
      <c r="J49" s="183"/>
      <c r="K49" s="183"/>
      <c r="L49" s="184"/>
      <c r="M49" s="184"/>
      <c r="N49" s="184"/>
      <c r="O49" s="184"/>
      <c r="P49" s="184"/>
      <c r="Q49" s="184"/>
      <c r="R49" s="184"/>
      <c r="S49" s="184"/>
      <c r="T49" s="184"/>
      <c r="U49" s="183"/>
      <c r="V49" s="183"/>
      <c r="W49" s="183"/>
    </row>
    <row r="50" spans="1:23">
      <c r="A50" s="184"/>
      <c r="B50" s="184"/>
      <c r="C50" s="184"/>
      <c r="D50" s="184"/>
      <c r="E50" s="184"/>
      <c r="F50" s="183"/>
      <c r="G50" s="183"/>
      <c r="H50" s="184"/>
      <c r="I50" s="183"/>
      <c r="J50" s="183"/>
      <c r="K50" s="183"/>
      <c r="L50" s="184"/>
      <c r="M50" s="184"/>
      <c r="N50" s="184"/>
      <c r="O50" s="184"/>
      <c r="P50" s="184"/>
      <c r="Q50" s="184"/>
      <c r="R50" s="184"/>
      <c r="S50" s="184"/>
      <c r="T50" s="184"/>
      <c r="U50" s="183"/>
      <c r="V50" s="183"/>
      <c r="W50" s="183"/>
    </row>
    <row r="51" spans="1:23">
      <c r="A51" s="184"/>
      <c r="B51" s="184"/>
      <c r="C51" s="184"/>
      <c r="D51" s="184"/>
      <c r="E51" s="184"/>
      <c r="F51" s="183"/>
      <c r="G51" s="183"/>
      <c r="H51" s="184"/>
      <c r="I51" s="183"/>
      <c r="J51" s="183"/>
      <c r="K51" s="183"/>
      <c r="L51" s="184"/>
      <c r="M51" s="184"/>
      <c r="N51" s="184"/>
      <c r="O51" s="184"/>
      <c r="P51" s="184"/>
      <c r="Q51" s="184"/>
      <c r="R51" s="184"/>
      <c r="S51" s="184"/>
      <c r="T51" s="184"/>
      <c r="U51" s="183"/>
      <c r="V51" s="183"/>
      <c r="W51" s="183"/>
    </row>
    <row r="52" spans="1:23">
      <c r="A52" s="184"/>
      <c r="B52" s="184"/>
      <c r="C52" s="184"/>
      <c r="D52" s="184"/>
      <c r="E52" s="184"/>
      <c r="F52" s="183"/>
      <c r="G52" s="183"/>
      <c r="H52" s="184"/>
      <c r="I52" s="183"/>
      <c r="J52" s="183"/>
      <c r="K52" s="183"/>
      <c r="L52" s="184"/>
      <c r="M52" s="184"/>
      <c r="N52" s="184"/>
      <c r="O52" s="184"/>
      <c r="P52" s="184"/>
      <c r="Q52" s="184"/>
      <c r="R52" s="184"/>
      <c r="S52" s="184"/>
      <c r="T52" s="184"/>
      <c r="U52" s="183"/>
      <c r="V52" s="183"/>
      <c r="W52" s="183"/>
    </row>
    <row r="53" spans="1:23">
      <c r="A53" s="184"/>
      <c r="B53" s="184"/>
      <c r="C53" s="184"/>
      <c r="D53" s="184"/>
      <c r="E53" s="184"/>
      <c r="F53" s="183"/>
      <c r="G53" s="183"/>
      <c r="H53" s="184"/>
      <c r="I53" s="183"/>
      <c r="J53" s="183"/>
      <c r="K53" s="183"/>
      <c r="L53" s="184"/>
      <c r="M53" s="184"/>
      <c r="N53" s="184"/>
      <c r="O53" s="184"/>
      <c r="P53" s="184"/>
      <c r="Q53" s="184"/>
      <c r="R53" s="184"/>
      <c r="S53" s="184"/>
      <c r="T53" s="184"/>
      <c r="U53" s="183"/>
      <c r="V53" s="183"/>
      <c r="W53" s="183"/>
    </row>
    <row r="54" spans="1:23">
      <c r="A54" s="184"/>
      <c r="B54" s="184"/>
      <c r="C54" s="184"/>
      <c r="D54" s="184"/>
      <c r="E54" s="184"/>
      <c r="F54" s="183"/>
      <c r="G54" s="183"/>
      <c r="H54" s="184"/>
      <c r="I54" s="183"/>
      <c r="J54" s="183"/>
      <c r="K54" s="183"/>
      <c r="L54" s="184"/>
      <c r="M54" s="184"/>
      <c r="N54" s="184"/>
      <c r="O54" s="184"/>
      <c r="P54" s="184"/>
      <c r="Q54" s="184"/>
      <c r="R54" s="184"/>
      <c r="S54" s="184"/>
      <c r="T54" s="184"/>
      <c r="U54" s="183"/>
      <c r="V54" s="183"/>
      <c r="W54" s="183"/>
    </row>
    <row r="55" spans="1:23">
      <c r="I55" s="183"/>
    </row>
  </sheetData>
  <mergeCells count="18">
    <mergeCell ref="V3:V4"/>
    <mergeCell ref="W3:W4"/>
    <mergeCell ref="A10:E10"/>
    <mergeCell ref="A11:E11"/>
    <mergeCell ref="A3:E3"/>
    <mergeCell ref="F3:F4"/>
    <mergeCell ref="G3:G4"/>
    <mergeCell ref="I3:I4"/>
    <mergeCell ref="J3:J4"/>
    <mergeCell ref="K3:K4"/>
    <mergeCell ref="A36:U36"/>
    <mergeCell ref="A38:U38"/>
    <mergeCell ref="A39:U39"/>
    <mergeCell ref="L3:L4"/>
    <mergeCell ref="U3:U4"/>
    <mergeCell ref="A32:E32"/>
    <mergeCell ref="A34:U34"/>
    <mergeCell ref="A35:L35"/>
  </mergeCells>
  <phoneticPr fontId="31" type="noConversion"/>
  <pageMargins left="0.70866141732283472" right="0.70866141732283472" top="0" bottom="0" header="0" footer="0"/>
  <pageSetup paperSize="9" scale="91" orientation="landscape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N15"/>
  <sheetViews>
    <sheetView workbookViewId="0">
      <selection activeCell="C20" sqref="C20"/>
    </sheetView>
  </sheetViews>
  <sheetFormatPr defaultRowHeight="15"/>
  <cols>
    <col min="1" max="1" width="28" customWidth="1"/>
    <col min="2" max="2" width="11" style="36" customWidth="1"/>
    <col min="3" max="3" width="11.42578125" style="36" customWidth="1"/>
    <col min="4" max="4" width="10.28515625" style="36" customWidth="1"/>
    <col min="5" max="8" width="9.140625" style="36"/>
    <col min="9" max="9" width="8" style="36" customWidth="1"/>
    <col min="10" max="14" width="9.140625" style="36"/>
  </cols>
  <sheetData>
    <row r="1" spans="1:14">
      <c r="A1" s="20" t="s">
        <v>27</v>
      </c>
      <c r="B1" s="31"/>
      <c r="C1" s="31"/>
      <c r="D1" s="31"/>
      <c r="E1" s="31"/>
      <c r="F1" s="33"/>
      <c r="G1" s="33"/>
      <c r="H1" s="31" t="s">
        <v>138</v>
      </c>
      <c r="I1" s="33"/>
      <c r="J1" s="33"/>
      <c r="K1" s="31"/>
      <c r="L1" s="31"/>
      <c r="M1" s="31"/>
      <c r="N1" s="29"/>
    </row>
    <row r="2" spans="1:14">
      <c r="A2" s="1"/>
      <c r="B2" s="27" t="s">
        <v>1</v>
      </c>
      <c r="C2" s="27" t="s">
        <v>2</v>
      </c>
      <c r="D2" s="27" t="s">
        <v>3</v>
      </c>
      <c r="E2" s="28" t="s">
        <v>4</v>
      </c>
      <c r="F2" s="27" t="s">
        <v>5</v>
      </c>
      <c r="G2" s="28" t="s">
        <v>6</v>
      </c>
      <c r="H2" s="27" t="s">
        <v>7</v>
      </c>
      <c r="I2" s="28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 t="s">
        <v>101</v>
      </c>
    </row>
    <row r="3" spans="1:14">
      <c r="A3" s="256" t="s">
        <v>166</v>
      </c>
      <c r="B3" s="41"/>
      <c r="C3" s="106"/>
      <c r="D3" s="106"/>
      <c r="E3" s="233">
        <v>4990</v>
      </c>
      <c r="F3" s="106"/>
      <c r="G3" s="106"/>
      <c r="H3" s="106"/>
      <c r="I3" s="41"/>
      <c r="J3" s="41"/>
      <c r="K3" s="41"/>
      <c r="L3" s="41"/>
      <c r="M3" s="41"/>
      <c r="N3" s="41">
        <f t="shared" ref="N3:N12" si="0">SUM(B3:M3)</f>
        <v>4990</v>
      </c>
    </row>
    <row r="4" spans="1:14">
      <c r="A4" s="256" t="s">
        <v>188</v>
      </c>
      <c r="B4" s="41"/>
      <c r="C4" s="106"/>
      <c r="D4" s="106"/>
      <c r="E4" s="106"/>
      <c r="F4" s="106"/>
      <c r="G4" s="233">
        <v>12950</v>
      </c>
      <c r="H4" s="106"/>
      <c r="I4" s="41"/>
      <c r="J4" s="41"/>
      <c r="K4" s="41"/>
      <c r="L4" s="41"/>
      <c r="M4" s="41"/>
      <c r="N4" s="41">
        <f t="shared" si="0"/>
        <v>12950</v>
      </c>
    </row>
    <row r="5" spans="1:14">
      <c r="A5" s="256" t="s">
        <v>200</v>
      </c>
      <c r="B5" s="41"/>
      <c r="C5" s="106"/>
      <c r="D5" s="106"/>
      <c r="E5" s="106"/>
      <c r="F5" s="106"/>
      <c r="G5" s="233">
        <f>1650+1990</f>
        <v>3640</v>
      </c>
      <c r="H5" s="106"/>
      <c r="I5" s="41"/>
      <c r="J5" s="41"/>
      <c r="K5" s="41"/>
      <c r="L5" s="233">
        <v>2200</v>
      </c>
      <c r="M5" s="41"/>
      <c r="N5" s="41">
        <f t="shared" si="0"/>
        <v>5840</v>
      </c>
    </row>
    <row r="6" spans="1:14">
      <c r="A6" s="256" t="s">
        <v>201</v>
      </c>
      <c r="B6" s="41"/>
      <c r="C6" s="41"/>
      <c r="D6" s="41"/>
      <c r="E6" s="41"/>
      <c r="F6" s="41"/>
      <c r="G6" s="233">
        <v>3460</v>
      </c>
      <c r="H6" s="41"/>
      <c r="I6" s="41"/>
      <c r="J6" s="41"/>
      <c r="K6" s="41"/>
      <c r="L6" s="41"/>
      <c r="M6" s="41"/>
      <c r="N6" s="41">
        <f t="shared" si="0"/>
        <v>3460</v>
      </c>
    </row>
    <row r="7" spans="1:14">
      <c r="A7" s="256" t="s">
        <v>227</v>
      </c>
      <c r="B7" s="41"/>
      <c r="C7" s="41"/>
      <c r="D7" s="41"/>
      <c r="E7" s="41"/>
      <c r="F7" s="41"/>
      <c r="G7" s="41"/>
      <c r="H7" s="233">
        <v>1980</v>
      </c>
      <c r="I7" s="41"/>
      <c r="J7" s="41"/>
      <c r="K7" s="41"/>
      <c r="L7" s="41"/>
      <c r="M7" s="41"/>
      <c r="N7" s="41">
        <f t="shared" si="0"/>
        <v>1980</v>
      </c>
    </row>
    <row r="8" spans="1:14">
      <c r="A8" s="268" t="s">
        <v>298</v>
      </c>
      <c r="B8" s="113"/>
      <c r="C8" s="113"/>
      <c r="D8" s="113"/>
      <c r="E8" s="114"/>
      <c r="F8" s="114"/>
      <c r="G8" s="114"/>
      <c r="H8" s="113"/>
      <c r="I8" s="114"/>
      <c r="J8" s="35"/>
      <c r="K8" s="35"/>
      <c r="L8" s="320">
        <v>49980</v>
      </c>
      <c r="M8" s="39"/>
      <c r="N8" s="35">
        <f>SUM(B8:M8)</f>
        <v>49980</v>
      </c>
    </row>
    <row r="9" spans="1:14">
      <c r="A9" s="268" t="s">
        <v>313</v>
      </c>
      <c r="B9" s="113"/>
      <c r="C9" s="113"/>
      <c r="D9" s="113"/>
      <c r="E9" s="114"/>
      <c r="F9" s="114"/>
      <c r="G9" s="114"/>
      <c r="H9" s="113"/>
      <c r="I9" s="114"/>
      <c r="J9" s="35"/>
      <c r="K9" s="35"/>
      <c r="L9" s="320">
        <v>1306</v>
      </c>
      <c r="M9" s="39"/>
      <c r="N9" s="35">
        <f>SUM(B9:M9)</f>
        <v>1306</v>
      </c>
    </row>
    <row r="10" spans="1:14">
      <c r="A10" s="268" t="s">
        <v>314</v>
      </c>
      <c r="B10" s="113"/>
      <c r="C10" s="113"/>
      <c r="D10" s="113"/>
      <c r="E10" s="114"/>
      <c r="F10" s="114"/>
      <c r="G10" s="114"/>
      <c r="H10" s="113"/>
      <c r="I10" s="114"/>
      <c r="J10" s="35"/>
      <c r="K10" s="35"/>
      <c r="L10" s="320">
        <v>1267</v>
      </c>
      <c r="M10" s="39"/>
      <c r="N10" s="35">
        <f>SUM(B10:M10)</f>
        <v>1267</v>
      </c>
    </row>
    <row r="11" spans="1:14">
      <c r="A11" s="256"/>
      <c r="B11" s="233">
        <v>18490</v>
      </c>
      <c r="C11" s="233">
        <v>25716</v>
      </c>
      <c r="D11" s="41"/>
      <c r="E11" s="41"/>
      <c r="F11" s="41"/>
      <c r="G11" s="41"/>
      <c r="H11" s="41"/>
      <c r="I11" s="41"/>
      <c r="J11" s="41"/>
      <c r="K11" s="41"/>
      <c r="L11" s="42"/>
      <c r="M11" s="41"/>
      <c r="N11" s="35">
        <f>SUM(B11:M11)</f>
        <v>44206</v>
      </c>
    </row>
    <row r="12" spans="1:14">
      <c r="A12" s="7" t="s">
        <v>321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2"/>
      <c r="M12" s="320">
        <v>1568</v>
      </c>
      <c r="N12" s="41">
        <f t="shared" si="0"/>
        <v>1568</v>
      </c>
    </row>
    <row r="13" spans="1:14">
      <c r="A13" s="4" t="s">
        <v>18</v>
      </c>
      <c r="B13" s="291">
        <v>18490</v>
      </c>
      <c r="C13" s="291">
        <v>25716</v>
      </c>
      <c r="D13" s="299">
        <f t="shared" ref="D13:N13" si="1">SUM(D3:D12)</f>
        <v>0</v>
      </c>
      <c r="E13" s="299">
        <f t="shared" si="1"/>
        <v>4990</v>
      </c>
      <c r="F13" s="299">
        <f t="shared" si="1"/>
        <v>0</v>
      </c>
      <c r="G13" s="299">
        <f t="shared" si="1"/>
        <v>20050</v>
      </c>
      <c r="H13" s="299">
        <f t="shared" si="1"/>
        <v>1980</v>
      </c>
      <c r="I13" s="299">
        <f t="shared" si="1"/>
        <v>0</v>
      </c>
      <c r="J13" s="299">
        <f t="shared" si="1"/>
        <v>0</v>
      </c>
      <c r="K13" s="299">
        <f t="shared" si="1"/>
        <v>0</v>
      </c>
      <c r="L13" s="299">
        <f t="shared" si="1"/>
        <v>54753</v>
      </c>
      <c r="M13" s="299">
        <f t="shared" si="1"/>
        <v>1568</v>
      </c>
      <c r="N13" s="299">
        <f t="shared" si="1"/>
        <v>127547</v>
      </c>
    </row>
    <row r="15" spans="1:14">
      <c r="N15" s="315">
        <f>SUM(B13:M13)-N13</f>
        <v>0</v>
      </c>
    </row>
  </sheetData>
  <phoneticPr fontId="31" type="noConversion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749992370372631"/>
    <pageSetUpPr fitToPage="1"/>
  </sheetPr>
  <dimension ref="A1:N13"/>
  <sheetViews>
    <sheetView workbookViewId="0">
      <selection activeCell="L4" sqref="L4:M4"/>
    </sheetView>
  </sheetViews>
  <sheetFormatPr defaultRowHeight="15"/>
  <cols>
    <col min="1" max="1" width="19.28515625" bestFit="1" customWidth="1"/>
    <col min="2" max="2" width="10.85546875" customWidth="1"/>
    <col min="3" max="3" width="8.5703125" customWidth="1"/>
    <col min="4" max="4" width="9.7109375" customWidth="1"/>
    <col min="6" max="6" width="12.7109375" customWidth="1"/>
    <col min="10" max="10" width="7.42578125" customWidth="1"/>
    <col min="11" max="11" width="7.85546875" customWidth="1"/>
    <col min="12" max="12" width="9.7109375" customWidth="1"/>
  </cols>
  <sheetData>
    <row r="1" spans="1:14">
      <c r="A1" s="20" t="s">
        <v>28</v>
      </c>
      <c r="B1" s="2"/>
      <c r="C1" s="2"/>
      <c r="D1" s="2"/>
      <c r="E1" s="2"/>
      <c r="F1" s="4" t="s">
        <v>133</v>
      </c>
      <c r="G1" s="4"/>
      <c r="H1" s="2"/>
      <c r="I1" s="2"/>
      <c r="J1" s="2"/>
      <c r="K1" s="2"/>
      <c r="L1" s="2"/>
      <c r="M1" s="2"/>
      <c r="N1" s="1"/>
    </row>
    <row r="2" spans="1:14">
      <c r="A2" s="1"/>
      <c r="B2" s="13" t="s">
        <v>1</v>
      </c>
      <c r="C2" s="13" t="s">
        <v>2</v>
      </c>
      <c r="D2" s="13" t="s">
        <v>3</v>
      </c>
      <c r="E2" s="10" t="s">
        <v>4</v>
      </c>
      <c r="F2" s="27" t="s">
        <v>5</v>
      </c>
      <c r="G2" s="10" t="s">
        <v>6</v>
      </c>
      <c r="H2" s="13" t="s">
        <v>7</v>
      </c>
      <c r="I2" s="10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/>
    </row>
    <row r="3" spans="1:14">
      <c r="A3" s="2"/>
      <c r="B3" s="9"/>
      <c r="C3" s="9"/>
      <c r="D3" s="9"/>
      <c r="E3" s="11"/>
      <c r="F3" s="9"/>
      <c r="G3" s="11"/>
      <c r="H3" s="9"/>
      <c r="I3" s="11"/>
      <c r="J3" s="9"/>
      <c r="K3" s="9"/>
      <c r="L3" s="9"/>
      <c r="M3" s="9"/>
      <c r="N3" s="9"/>
    </row>
    <row r="4" spans="1:14">
      <c r="A4" s="1" t="s">
        <v>28</v>
      </c>
      <c r="B4" s="229">
        <v>247500</v>
      </c>
      <c r="C4" s="229">
        <v>270000</v>
      </c>
      <c r="D4" s="229">
        <v>280000</v>
      </c>
      <c r="E4" s="229">
        <v>280000</v>
      </c>
      <c r="F4" s="229">
        <v>360000</v>
      </c>
      <c r="G4" s="278">
        <v>540000</v>
      </c>
      <c r="H4" s="229">
        <v>370000</v>
      </c>
      <c r="I4" s="278">
        <v>180000</v>
      </c>
      <c r="J4" s="229">
        <v>168000</v>
      </c>
      <c r="K4" s="229">
        <v>120000</v>
      </c>
      <c r="L4" s="321">
        <v>350000</v>
      </c>
      <c r="M4" s="321">
        <v>350000</v>
      </c>
      <c r="N4" s="7">
        <f>SUM(B4:M4)</f>
        <v>3515500</v>
      </c>
    </row>
    <row r="5" spans="1:14">
      <c r="A5" s="1" t="s">
        <v>29</v>
      </c>
      <c r="B5" s="101"/>
      <c r="C5" s="101"/>
      <c r="D5" s="101"/>
      <c r="E5" s="120"/>
      <c r="F5" s="101"/>
      <c r="G5" s="120"/>
      <c r="H5" s="14"/>
      <c r="I5" s="12"/>
      <c r="J5" s="14"/>
      <c r="K5" s="14"/>
      <c r="L5" s="16"/>
      <c r="M5" s="16"/>
      <c r="N5" s="7">
        <f t="shared" ref="N5:N10" si="0">SUM(B5:M5)</f>
        <v>0</v>
      </c>
    </row>
    <row r="6" spans="1:14">
      <c r="A6" s="2" t="s">
        <v>30</v>
      </c>
      <c r="B6" s="100"/>
      <c r="C6" s="100"/>
      <c r="D6" s="100"/>
      <c r="E6" s="196"/>
      <c r="F6" s="100"/>
      <c r="G6" s="196"/>
      <c r="H6" s="9"/>
      <c r="I6" s="11"/>
      <c r="J6" s="228">
        <v>169151</v>
      </c>
      <c r="K6" s="9"/>
      <c r="L6" s="8"/>
      <c r="M6" s="8"/>
      <c r="N6" s="7">
        <f t="shared" si="0"/>
        <v>169151</v>
      </c>
    </row>
    <row r="7" spans="1:14">
      <c r="A7" s="15" t="s">
        <v>31</v>
      </c>
      <c r="B7" s="219"/>
      <c r="C7" s="219"/>
      <c r="D7" s="219"/>
      <c r="E7" s="220"/>
      <c r="F7" s="219"/>
      <c r="G7" s="220"/>
      <c r="H7" s="13"/>
      <c r="I7" s="10"/>
      <c r="J7" s="13"/>
      <c r="K7" s="13"/>
      <c r="L7" s="17"/>
      <c r="M7" s="17"/>
      <c r="N7" s="7">
        <f t="shared" si="0"/>
        <v>0</v>
      </c>
    </row>
    <row r="8" spans="1:14">
      <c r="A8" s="2" t="s">
        <v>58</v>
      </c>
      <c r="B8" s="100"/>
      <c r="C8" s="100"/>
      <c r="D8" s="100"/>
      <c r="E8" s="196"/>
      <c r="F8" s="100"/>
      <c r="G8" s="196"/>
      <c r="H8" s="9"/>
      <c r="I8" s="11"/>
      <c r="J8" s="9"/>
      <c r="K8" s="9"/>
      <c r="L8" s="8"/>
      <c r="M8" s="8"/>
      <c r="N8" s="7">
        <f t="shared" si="0"/>
        <v>0</v>
      </c>
    </row>
    <row r="9" spans="1:14">
      <c r="A9" s="2" t="s">
        <v>142</v>
      </c>
      <c r="B9" s="228">
        <v>15800</v>
      </c>
      <c r="C9" s="228">
        <v>1868</v>
      </c>
      <c r="D9" s="9"/>
      <c r="E9" s="11"/>
      <c r="F9" s="9"/>
      <c r="G9" s="11"/>
      <c r="H9" s="9"/>
      <c r="I9" s="11"/>
      <c r="J9" s="9"/>
      <c r="K9" s="9"/>
      <c r="L9" s="8"/>
      <c r="M9" s="8"/>
      <c r="N9" s="7">
        <f t="shared" si="0"/>
        <v>17668</v>
      </c>
    </row>
    <row r="10" spans="1:14">
      <c r="A10" s="2" t="s">
        <v>162</v>
      </c>
      <c r="B10" s="9"/>
      <c r="C10" s="9"/>
      <c r="D10" s="9"/>
      <c r="E10" s="11"/>
      <c r="F10" s="228">
        <v>137800</v>
      </c>
      <c r="G10" s="11"/>
      <c r="H10" s="9"/>
      <c r="I10" s="11"/>
      <c r="J10" s="9"/>
      <c r="K10" s="9"/>
      <c r="L10" s="8"/>
      <c r="M10" s="8"/>
      <c r="N10" s="7">
        <f t="shared" si="0"/>
        <v>137800</v>
      </c>
    </row>
    <row r="11" spans="1:14">
      <c r="A11" s="4" t="s">
        <v>18</v>
      </c>
      <c r="B11" s="292">
        <f t="shared" ref="B11:N11" si="1">SUM(B4:B10)</f>
        <v>263300</v>
      </c>
      <c r="C11" s="292">
        <f t="shared" si="1"/>
        <v>271868</v>
      </c>
      <c r="D11" s="292">
        <f t="shared" si="1"/>
        <v>280000</v>
      </c>
      <c r="E11" s="292">
        <f t="shared" si="1"/>
        <v>280000</v>
      </c>
      <c r="F11" s="292">
        <f t="shared" si="1"/>
        <v>497800</v>
      </c>
      <c r="G11" s="292">
        <f t="shared" si="1"/>
        <v>540000</v>
      </c>
      <c r="H11" s="292">
        <f t="shared" si="1"/>
        <v>370000</v>
      </c>
      <c r="I11" s="292">
        <f t="shared" si="1"/>
        <v>180000</v>
      </c>
      <c r="J11" s="292">
        <f t="shared" si="1"/>
        <v>337151</v>
      </c>
      <c r="K11" s="292">
        <f t="shared" si="1"/>
        <v>120000</v>
      </c>
      <c r="L11" s="292">
        <f t="shared" si="1"/>
        <v>350000</v>
      </c>
      <c r="M11" s="292">
        <f t="shared" si="1"/>
        <v>350000</v>
      </c>
      <c r="N11" s="292">
        <f t="shared" si="1"/>
        <v>3840119</v>
      </c>
    </row>
    <row r="13" spans="1:14">
      <c r="N13" s="315">
        <f>SUM(B11:M11)-N11</f>
        <v>0</v>
      </c>
    </row>
  </sheetData>
  <phoneticPr fontId="31" type="noConversion"/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499984740745262"/>
    <pageSetUpPr fitToPage="1"/>
  </sheetPr>
  <dimension ref="A1:N9"/>
  <sheetViews>
    <sheetView workbookViewId="0">
      <selection activeCell="L16" sqref="L16"/>
    </sheetView>
  </sheetViews>
  <sheetFormatPr defaultRowHeight="15"/>
  <cols>
    <col min="1" max="1" width="21" bestFit="1" customWidth="1"/>
    <col min="2" max="2" width="10.7109375" customWidth="1"/>
    <col min="3" max="3" width="8.140625" customWidth="1"/>
    <col min="5" max="5" width="8.140625" customWidth="1"/>
    <col min="6" max="6" width="8.28515625" customWidth="1"/>
    <col min="7" max="7" width="9.42578125" customWidth="1"/>
    <col min="8" max="8" width="10" style="36" customWidth="1"/>
  </cols>
  <sheetData>
    <row r="1" spans="1:14">
      <c r="A1" s="4" t="s">
        <v>32</v>
      </c>
      <c r="B1" s="2"/>
      <c r="C1" s="2"/>
      <c r="D1" s="2"/>
      <c r="E1" s="2"/>
      <c r="F1" s="4" t="s">
        <v>133</v>
      </c>
      <c r="G1" s="4"/>
      <c r="H1" s="31"/>
      <c r="I1" s="2"/>
      <c r="J1" s="2"/>
      <c r="K1" s="2"/>
      <c r="L1" s="2"/>
      <c r="M1" s="2"/>
      <c r="N1" s="1"/>
    </row>
    <row r="2" spans="1:14">
      <c r="A2" s="1"/>
      <c r="B2" s="13" t="s">
        <v>1</v>
      </c>
      <c r="C2" s="13" t="s">
        <v>2</v>
      </c>
      <c r="D2" s="13" t="s">
        <v>3</v>
      </c>
      <c r="E2" s="10" t="s">
        <v>4</v>
      </c>
      <c r="F2" s="13" t="s">
        <v>5</v>
      </c>
      <c r="G2" s="10" t="s">
        <v>6</v>
      </c>
      <c r="H2" s="27" t="s">
        <v>7</v>
      </c>
      <c r="I2" s="10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/>
    </row>
    <row r="3" spans="1:14">
      <c r="A3" s="2"/>
      <c r="B3" s="9"/>
      <c r="C3" s="9"/>
      <c r="D3" s="9"/>
      <c r="E3" s="11"/>
      <c r="F3" s="9"/>
      <c r="G3" s="11"/>
      <c r="H3" s="35"/>
      <c r="I3" s="11"/>
      <c r="J3" s="9"/>
      <c r="K3" s="9"/>
      <c r="L3" s="9"/>
      <c r="M3" s="9"/>
      <c r="N3" s="9"/>
    </row>
    <row r="4" spans="1:14">
      <c r="A4" s="2" t="s">
        <v>32</v>
      </c>
      <c r="B4" s="228">
        <v>570000</v>
      </c>
      <c r="C4" s="228">
        <v>570000</v>
      </c>
      <c r="D4" s="228">
        <v>570000</v>
      </c>
      <c r="E4" s="228">
        <v>570000</v>
      </c>
      <c r="F4" s="228">
        <v>570000</v>
      </c>
      <c r="G4" s="274">
        <v>570000</v>
      </c>
      <c r="H4" s="230">
        <v>570000</v>
      </c>
      <c r="I4" s="274">
        <v>570000</v>
      </c>
      <c r="J4" s="228">
        <v>517121</v>
      </c>
      <c r="K4" s="228">
        <v>517121</v>
      </c>
      <c r="L4" s="228">
        <v>517121</v>
      </c>
      <c r="M4" s="228">
        <v>517121</v>
      </c>
      <c r="N4" s="9">
        <f>SUM(B4:M4)</f>
        <v>6628484</v>
      </c>
    </row>
    <row r="5" spans="1:14">
      <c r="A5" s="2" t="s">
        <v>173</v>
      </c>
      <c r="B5" s="113"/>
      <c r="C5" s="113"/>
      <c r="D5" s="113"/>
      <c r="E5" s="114"/>
      <c r="F5" s="230">
        <v>228234</v>
      </c>
      <c r="G5" s="114"/>
      <c r="H5" s="113"/>
      <c r="I5" s="114"/>
      <c r="J5" s="35"/>
      <c r="K5" s="35"/>
      <c r="L5" s="39"/>
      <c r="M5" s="39"/>
      <c r="N5" s="35">
        <f>SUM(B5:M5)</f>
        <v>228234</v>
      </c>
    </row>
    <row r="6" spans="1:14">
      <c r="A6" s="1"/>
      <c r="B6" s="14"/>
      <c r="C6" s="14"/>
      <c r="D6" s="14"/>
      <c r="E6" s="14"/>
      <c r="F6" s="14"/>
      <c r="G6" s="12"/>
      <c r="H6" s="37"/>
      <c r="I6" s="12"/>
      <c r="J6" s="14"/>
      <c r="K6" s="14"/>
      <c r="L6" s="16"/>
      <c r="M6" s="16"/>
      <c r="N6" s="9">
        <f>SUM(B6:M6)</f>
        <v>0</v>
      </c>
    </row>
    <row r="7" spans="1:14">
      <c r="A7" s="4" t="s">
        <v>18</v>
      </c>
      <c r="B7" s="292">
        <f t="shared" ref="B7:M7" si="0">SUM(B4:B6)</f>
        <v>570000</v>
      </c>
      <c r="C7" s="292">
        <f t="shared" si="0"/>
        <v>570000</v>
      </c>
      <c r="D7" s="292">
        <f t="shared" si="0"/>
        <v>570000</v>
      </c>
      <c r="E7" s="292">
        <f t="shared" si="0"/>
        <v>570000</v>
      </c>
      <c r="F7" s="292">
        <f t="shared" si="0"/>
        <v>798234</v>
      </c>
      <c r="G7" s="292">
        <f t="shared" si="0"/>
        <v>570000</v>
      </c>
      <c r="H7" s="292">
        <f t="shared" si="0"/>
        <v>570000</v>
      </c>
      <c r="I7" s="292">
        <f t="shared" si="0"/>
        <v>570000</v>
      </c>
      <c r="J7" s="292">
        <f t="shared" si="0"/>
        <v>517121</v>
      </c>
      <c r="K7" s="292">
        <f t="shared" si="0"/>
        <v>517121</v>
      </c>
      <c r="L7" s="292">
        <f t="shared" si="0"/>
        <v>517121</v>
      </c>
      <c r="M7" s="292">
        <f t="shared" si="0"/>
        <v>517121</v>
      </c>
      <c r="N7" s="292">
        <f>SUM(N4:N6)</f>
        <v>6856718</v>
      </c>
    </row>
    <row r="9" spans="1:14">
      <c r="N9" s="315">
        <f>SUM(B7:M7)-N7</f>
        <v>0</v>
      </c>
    </row>
  </sheetData>
  <phoneticPr fontId="31" type="noConversion"/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0.79998168889431442"/>
    <pageSetUpPr fitToPage="1"/>
  </sheetPr>
  <dimension ref="A1:N8"/>
  <sheetViews>
    <sheetView workbookViewId="0">
      <selection activeCell="M5" sqref="M5"/>
    </sheetView>
  </sheetViews>
  <sheetFormatPr defaultRowHeight="15"/>
  <cols>
    <col min="1" max="1" width="36.5703125" bestFit="1" customWidth="1"/>
    <col min="3" max="3" width="7.140625" customWidth="1"/>
    <col min="4" max="4" width="7.85546875" customWidth="1"/>
    <col min="5" max="5" width="7.5703125" customWidth="1"/>
    <col min="6" max="6" width="7.7109375" customWidth="1"/>
  </cols>
  <sheetData>
    <row r="1" spans="1:14">
      <c r="A1" s="20" t="s">
        <v>34</v>
      </c>
      <c r="B1" s="2"/>
      <c r="C1" s="2"/>
      <c r="D1" s="2"/>
      <c r="E1" s="2"/>
      <c r="F1" s="4" t="s">
        <v>133</v>
      </c>
      <c r="G1" s="4"/>
      <c r="H1" s="2"/>
      <c r="I1" s="2"/>
      <c r="J1" s="2"/>
      <c r="K1" s="2"/>
      <c r="L1" s="2"/>
      <c r="M1" s="2"/>
      <c r="N1" s="1"/>
    </row>
    <row r="2" spans="1:14">
      <c r="A2" s="1"/>
      <c r="B2" s="13" t="s">
        <v>1</v>
      </c>
      <c r="C2" s="13" t="s">
        <v>2</v>
      </c>
      <c r="D2" s="13" t="s">
        <v>3</v>
      </c>
      <c r="E2" s="10" t="s">
        <v>4</v>
      </c>
      <c r="F2" s="13" t="s">
        <v>5</v>
      </c>
      <c r="G2" s="10" t="s">
        <v>6</v>
      </c>
      <c r="H2" s="13" t="s">
        <v>7</v>
      </c>
      <c r="I2" s="10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/>
    </row>
    <row r="3" spans="1:14">
      <c r="A3" s="7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8"/>
      <c r="N3" s="7"/>
    </row>
    <row r="4" spans="1:14">
      <c r="A4" s="7" t="s">
        <v>35</v>
      </c>
      <c r="B4" s="233">
        <v>17930</v>
      </c>
      <c r="C4" s="235">
        <v>17930</v>
      </c>
      <c r="D4" s="235">
        <v>17930</v>
      </c>
      <c r="E4" s="233">
        <v>17930</v>
      </c>
      <c r="F4" s="235">
        <v>17930</v>
      </c>
      <c r="G4" s="235">
        <v>17930</v>
      </c>
      <c r="H4" s="233">
        <v>17930</v>
      </c>
      <c r="I4" s="235">
        <v>20049</v>
      </c>
      <c r="J4" s="235">
        <v>20049</v>
      </c>
      <c r="K4" s="235">
        <v>20049</v>
      </c>
      <c r="L4" s="235">
        <v>20697.669999999998</v>
      </c>
      <c r="M4" s="18">
        <v>20697.669999999998</v>
      </c>
      <c r="N4" s="7">
        <f>SUM(B4:M4)</f>
        <v>227052.33999999997</v>
      </c>
    </row>
    <row r="5" spans="1:14">
      <c r="A5" s="7"/>
      <c r="B5" s="7"/>
      <c r="C5" s="7"/>
      <c r="D5" s="7"/>
      <c r="E5" s="210"/>
      <c r="F5" s="210"/>
      <c r="G5" s="210"/>
      <c r="H5" s="210"/>
      <c r="I5" s="7"/>
      <c r="J5" s="7"/>
      <c r="K5" s="7"/>
      <c r="L5" s="18"/>
      <c r="M5" s="18"/>
      <c r="N5" s="7">
        <f>SUM(B5:M5)</f>
        <v>0</v>
      </c>
    </row>
    <row r="6" spans="1:14">
      <c r="A6" s="4" t="s">
        <v>18</v>
      </c>
      <c r="B6" s="291">
        <f t="shared" ref="B6:N6" si="0">SUM(B4:B5)</f>
        <v>17930</v>
      </c>
      <c r="C6" s="291">
        <f t="shared" si="0"/>
        <v>17930</v>
      </c>
      <c r="D6" s="291">
        <f t="shared" si="0"/>
        <v>17930</v>
      </c>
      <c r="E6" s="291">
        <f t="shared" si="0"/>
        <v>17930</v>
      </c>
      <c r="F6" s="291">
        <f t="shared" si="0"/>
        <v>17930</v>
      </c>
      <c r="G6" s="291">
        <f t="shared" si="0"/>
        <v>17930</v>
      </c>
      <c r="H6" s="291">
        <f t="shared" si="0"/>
        <v>17930</v>
      </c>
      <c r="I6" s="291">
        <f t="shared" si="0"/>
        <v>20049</v>
      </c>
      <c r="J6" s="291">
        <f t="shared" si="0"/>
        <v>20049</v>
      </c>
      <c r="K6" s="291">
        <f t="shared" si="0"/>
        <v>20049</v>
      </c>
      <c r="L6" s="291">
        <f t="shared" si="0"/>
        <v>20697.669999999998</v>
      </c>
      <c r="M6" s="291">
        <f t="shared" si="0"/>
        <v>20697.669999999998</v>
      </c>
      <c r="N6" s="291">
        <f t="shared" si="0"/>
        <v>227052.33999999997</v>
      </c>
    </row>
    <row r="8" spans="1:14">
      <c r="N8" s="315">
        <f>SUM(B6:M6)-N6</f>
        <v>0</v>
      </c>
    </row>
  </sheetData>
  <phoneticPr fontId="31" type="noConversion"/>
  <pageMargins left="0.25" right="0.25" top="0.75" bottom="0.75" header="0.3" footer="0.3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N28"/>
  <sheetViews>
    <sheetView workbookViewId="0">
      <selection activeCell="A26" sqref="A26"/>
    </sheetView>
  </sheetViews>
  <sheetFormatPr defaultRowHeight="15"/>
  <cols>
    <col min="1" max="1" width="35.140625" bestFit="1" customWidth="1"/>
    <col min="2" max="2" width="11.28515625" style="36" customWidth="1"/>
    <col min="3" max="3" width="11.140625" customWidth="1"/>
    <col min="4" max="4" width="9" customWidth="1"/>
    <col min="5" max="5" width="9.140625" style="36"/>
    <col min="6" max="6" width="9.7109375" customWidth="1"/>
  </cols>
  <sheetData>
    <row r="1" spans="1:14">
      <c r="A1" s="20" t="s">
        <v>36</v>
      </c>
      <c r="B1" s="31"/>
      <c r="C1" s="2"/>
      <c r="D1" s="2"/>
      <c r="E1" s="31"/>
      <c r="F1" s="4" t="s">
        <v>133</v>
      </c>
      <c r="G1" s="4"/>
      <c r="H1" s="2"/>
      <c r="I1" s="2"/>
      <c r="J1" s="2"/>
      <c r="K1" s="2"/>
      <c r="L1" s="2"/>
      <c r="M1" s="2"/>
      <c r="N1" s="1"/>
    </row>
    <row r="2" spans="1:14">
      <c r="A2" s="7"/>
      <c r="B2" s="27" t="s">
        <v>1</v>
      </c>
      <c r="C2" s="27" t="s">
        <v>2</v>
      </c>
      <c r="D2" s="27" t="s">
        <v>3</v>
      </c>
      <c r="E2" s="28" t="s">
        <v>4</v>
      </c>
      <c r="F2" s="27" t="s">
        <v>5</v>
      </c>
      <c r="G2" s="28" t="s">
        <v>6</v>
      </c>
      <c r="H2" s="27" t="s">
        <v>7</v>
      </c>
      <c r="I2" s="28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 t="s">
        <v>18</v>
      </c>
    </row>
    <row r="3" spans="1:14">
      <c r="A3" s="7" t="s">
        <v>310</v>
      </c>
      <c r="B3" s="27"/>
      <c r="C3" s="27"/>
      <c r="D3" s="27"/>
      <c r="E3" s="28"/>
      <c r="F3" s="27"/>
      <c r="G3" s="28"/>
      <c r="H3" s="27"/>
      <c r="I3" s="28"/>
      <c r="J3" s="27"/>
      <c r="K3" s="27"/>
      <c r="L3" s="324">
        <v>210000</v>
      </c>
      <c r="M3" s="27"/>
      <c r="N3" s="7">
        <f>SUM(B3:M3)</f>
        <v>210000</v>
      </c>
    </row>
    <row r="4" spans="1:14">
      <c r="A4" s="7" t="s">
        <v>319</v>
      </c>
      <c r="B4" s="27"/>
      <c r="C4" s="27"/>
      <c r="D4" s="27"/>
      <c r="E4" s="28"/>
      <c r="F4" s="27"/>
      <c r="G4" s="28"/>
      <c r="H4" s="27"/>
      <c r="I4" s="28"/>
      <c r="J4" s="27"/>
      <c r="K4" s="27"/>
      <c r="L4" s="27"/>
      <c r="M4" s="324">
        <v>12000</v>
      </c>
      <c r="N4" s="7">
        <f>SUM(B4:M4)</f>
        <v>12000</v>
      </c>
    </row>
    <row r="5" spans="1:14">
      <c r="A5" s="7" t="s">
        <v>322</v>
      </c>
      <c r="B5" s="27"/>
      <c r="C5" s="27"/>
      <c r="D5" s="27"/>
      <c r="E5" s="28"/>
      <c r="F5" s="27"/>
      <c r="G5" s="28"/>
      <c r="H5" s="27"/>
      <c r="I5" s="28"/>
      <c r="J5" s="27"/>
      <c r="K5" s="27"/>
      <c r="L5" s="27"/>
      <c r="M5" s="324">
        <v>6000</v>
      </c>
      <c r="N5" s="7">
        <f>SUM(B5:M5)</f>
        <v>6000</v>
      </c>
    </row>
    <row r="6" spans="1:14">
      <c r="A6" s="284" t="s">
        <v>146</v>
      </c>
      <c r="B6" s="41"/>
      <c r="C6" s="7"/>
      <c r="D6" s="7"/>
      <c r="E6" s="41"/>
      <c r="F6" s="7"/>
      <c r="G6" s="7"/>
      <c r="H6" s="7"/>
      <c r="I6" s="7"/>
      <c r="J6" s="7"/>
      <c r="K6" s="7"/>
      <c r="L6" s="18"/>
      <c r="M6" s="18"/>
      <c r="N6" s="7">
        <f>SUM(B6:M6)</f>
        <v>0</v>
      </c>
    </row>
    <row r="7" spans="1:14">
      <c r="A7" s="285"/>
      <c r="B7" s="106"/>
      <c r="C7" s="235">
        <v>13900</v>
      </c>
      <c r="D7" s="210"/>
      <c r="E7" s="106"/>
      <c r="F7" s="210"/>
      <c r="G7" s="210"/>
      <c r="H7" s="210"/>
      <c r="I7" s="7"/>
      <c r="J7" s="7"/>
      <c r="K7" s="7"/>
      <c r="L7" s="18"/>
      <c r="M7" s="18"/>
      <c r="N7" s="7">
        <f t="shared" ref="N7:N25" si="0">SUM(B7:M7)</f>
        <v>13900</v>
      </c>
    </row>
    <row r="8" spans="1:14">
      <c r="A8" s="286" t="s">
        <v>59</v>
      </c>
      <c r="B8" s="106"/>
      <c r="C8" s="210"/>
      <c r="D8" s="210"/>
      <c r="E8" s="106"/>
      <c r="F8" s="210"/>
      <c r="G8" s="210"/>
      <c r="H8" s="210"/>
      <c r="I8" s="235">
        <v>15763</v>
      </c>
      <c r="J8" s="235">
        <f>2*15763</f>
        <v>31526</v>
      </c>
      <c r="K8" s="7"/>
      <c r="L8" s="18"/>
      <c r="M8" s="235">
        <v>15763</v>
      </c>
      <c r="N8" s="7">
        <f t="shared" si="0"/>
        <v>63052</v>
      </c>
    </row>
    <row r="9" spans="1:14">
      <c r="A9" s="286" t="s">
        <v>265</v>
      </c>
      <c r="B9" s="106"/>
      <c r="C9" s="210"/>
      <c r="D9" s="210"/>
      <c r="E9" s="106"/>
      <c r="F9" s="210"/>
      <c r="G9" s="210"/>
      <c r="H9" s="210"/>
      <c r="I9" s="210"/>
      <c r="J9" s="210"/>
      <c r="K9" s="235">
        <v>16800</v>
      </c>
      <c r="L9" s="18"/>
      <c r="M9" s="18"/>
      <c r="N9" s="7">
        <f t="shared" si="0"/>
        <v>16800</v>
      </c>
    </row>
    <row r="10" spans="1:14">
      <c r="A10" s="287" t="s">
        <v>37</v>
      </c>
      <c r="B10" s="209"/>
      <c r="C10" s="235">
        <v>15838</v>
      </c>
      <c r="D10" s="210"/>
      <c r="E10" s="106"/>
      <c r="F10" s="235">
        <v>21334</v>
      </c>
      <c r="G10" s="210"/>
      <c r="H10" s="235">
        <v>10633</v>
      </c>
      <c r="I10" s="313">
        <v>27198</v>
      </c>
      <c r="J10" s="7"/>
      <c r="K10" s="7"/>
      <c r="L10" s="313">
        <v>9691</v>
      </c>
      <c r="M10" s="18"/>
      <c r="N10" s="7">
        <f t="shared" si="0"/>
        <v>84694</v>
      </c>
    </row>
    <row r="11" spans="1:14">
      <c r="A11" s="286"/>
      <c r="B11" s="233">
        <v>8104</v>
      </c>
      <c r="C11" s="210"/>
      <c r="D11" s="210"/>
      <c r="E11" s="106"/>
      <c r="F11" s="210"/>
      <c r="G11" s="210"/>
      <c r="H11" s="210"/>
      <c r="I11" s="210"/>
      <c r="J11" s="7"/>
      <c r="K11" s="7"/>
      <c r="L11" s="18"/>
      <c r="M11" s="18"/>
      <c r="N11" s="7">
        <f t="shared" si="0"/>
        <v>8104</v>
      </c>
    </row>
    <row r="12" spans="1:14">
      <c r="A12" s="286" t="s">
        <v>161</v>
      </c>
      <c r="B12" s="41"/>
      <c r="C12" s="7"/>
      <c r="D12" s="7"/>
      <c r="E12" s="41"/>
      <c r="F12" s="235">
        <v>7918.98</v>
      </c>
      <c r="G12" s="7"/>
      <c r="H12" s="7"/>
      <c r="I12" s="7"/>
      <c r="J12" s="7"/>
      <c r="K12" s="235">
        <v>7111</v>
      </c>
      <c r="L12" s="18"/>
      <c r="M12" s="18"/>
      <c r="N12" s="7">
        <f t="shared" si="0"/>
        <v>15029.98</v>
      </c>
    </row>
    <row r="13" spans="1:14">
      <c r="A13" s="286" t="s">
        <v>301</v>
      </c>
      <c r="B13" s="41"/>
      <c r="C13" s="7"/>
      <c r="D13" s="7"/>
      <c r="E13" s="41"/>
      <c r="F13" s="41"/>
      <c r="G13" s="7"/>
      <c r="H13" s="7"/>
      <c r="I13" s="7"/>
      <c r="J13" s="7"/>
      <c r="K13" s="7"/>
      <c r="L13" s="313">
        <f>30000+15000</f>
        <v>45000</v>
      </c>
      <c r="M13" s="18"/>
      <c r="N13" s="7">
        <f t="shared" si="0"/>
        <v>45000</v>
      </c>
    </row>
    <row r="14" spans="1:14">
      <c r="A14" s="286" t="s">
        <v>177</v>
      </c>
      <c r="B14" s="41"/>
      <c r="C14" s="7"/>
      <c r="D14" s="7"/>
      <c r="E14" s="41"/>
      <c r="F14" s="235">
        <v>5200</v>
      </c>
      <c r="G14" s="7"/>
      <c r="H14" s="7"/>
      <c r="I14" s="7"/>
      <c r="J14" s="7"/>
      <c r="K14" s="7"/>
      <c r="L14" s="18"/>
      <c r="M14" s="18"/>
      <c r="N14" s="7">
        <f t="shared" si="0"/>
        <v>5200</v>
      </c>
    </row>
    <row r="15" spans="1:14">
      <c r="A15" s="287" t="s">
        <v>193</v>
      </c>
      <c r="B15" s="41"/>
      <c r="C15" s="7"/>
      <c r="D15" s="7"/>
      <c r="E15" s="41"/>
      <c r="F15" s="7"/>
      <c r="G15" s="235">
        <v>859.8</v>
      </c>
      <c r="H15" s="210"/>
      <c r="I15" s="7"/>
      <c r="J15" s="7"/>
      <c r="K15" s="7"/>
      <c r="L15" s="18"/>
      <c r="M15" s="18"/>
      <c r="N15" s="7">
        <f t="shared" si="0"/>
        <v>859.8</v>
      </c>
    </row>
    <row r="16" spans="1:14" ht="26.25">
      <c r="A16" s="314" t="s">
        <v>242</v>
      </c>
      <c r="B16" s="41"/>
      <c r="C16" s="7"/>
      <c r="D16" s="7"/>
      <c r="E16" s="41"/>
      <c r="F16" s="7"/>
      <c r="G16" s="7"/>
      <c r="H16" s="7"/>
      <c r="I16" s="235">
        <f>500+2126+332+72+56+1980+859.8+68+3.5+20+60+1060+2280</f>
        <v>9417.2999999999993</v>
      </c>
      <c r="J16" s="7"/>
      <c r="K16" s="7"/>
      <c r="L16" s="18"/>
      <c r="M16" s="18"/>
      <c r="N16" s="7">
        <f t="shared" si="0"/>
        <v>9417.2999999999993</v>
      </c>
    </row>
    <row r="17" spans="1:14">
      <c r="A17" s="7" t="s">
        <v>248</v>
      </c>
      <c r="B17" s="41"/>
      <c r="C17" s="7"/>
      <c r="D17" s="7"/>
      <c r="E17" s="41"/>
      <c r="F17" s="7"/>
      <c r="G17" s="7"/>
      <c r="H17" s="7"/>
      <c r="I17" s="7"/>
      <c r="J17" s="235">
        <v>12540.7</v>
      </c>
      <c r="K17" s="7"/>
      <c r="L17" s="18"/>
      <c r="M17" s="18"/>
      <c r="N17" s="7">
        <f t="shared" ref="N17:N24" si="1">SUM(B17:M17)</f>
        <v>12540.7</v>
      </c>
    </row>
    <row r="18" spans="1:14">
      <c r="A18" s="7" t="s">
        <v>323</v>
      </c>
      <c r="B18" s="41"/>
      <c r="C18" s="7"/>
      <c r="D18" s="7"/>
      <c r="E18" s="41"/>
      <c r="F18" s="7"/>
      <c r="G18" s="7"/>
      <c r="H18" s="7"/>
      <c r="I18" s="7"/>
      <c r="J18" s="7"/>
      <c r="K18" s="7"/>
      <c r="L18" s="18"/>
      <c r="M18" s="235">
        <v>100</v>
      </c>
      <c r="N18" s="7">
        <f t="shared" si="1"/>
        <v>100</v>
      </c>
    </row>
    <row r="19" spans="1:14">
      <c r="A19" s="7" t="s">
        <v>324</v>
      </c>
      <c r="B19" s="41"/>
      <c r="C19" s="7"/>
      <c r="D19" s="7"/>
      <c r="E19" s="41"/>
      <c r="F19" s="7"/>
      <c r="G19" s="7"/>
      <c r="H19" s="7"/>
      <c r="I19" s="7"/>
      <c r="J19" s="7"/>
      <c r="K19" s="7"/>
      <c r="L19" s="18"/>
      <c r="M19" s="235">
        <v>240</v>
      </c>
      <c r="N19" s="7">
        <f t="shared" si="1"/>
        <v>240</v>
      </c>
    </row>
    <row r="20" spans="1:14">
      <c r="A20" s="7" t="s">
        <v>325</v>
      </c>
      <c r="B20" s="41"/>
      <c r="C20" s="7"/>
      <c r="D20" s="7"/>
      <c r="E20" s="41"/>
      <c r="F20" s="7"/>
      <c r="G20" s="7"/>
      <c r="H20" s="7"/>
      <c r="I20" s="7"/>
      <c r="J20" s="7"/>
      <c r="K20" s="7"/>
      <c r="L20" s="18"/>
      <c r="M20" s="235">
        <v>220</v>
      </c>
      <c r="N20" s="7">
        <f>SUM(B20:M20)</f>
        <v>220</v>
      </c>
    </row>
    <row r="21" spans="1:14">
      <c r="A21" s="7" t="s">
        <v>326</v>
      </c>
      <c r="B21" s="41"/>
      <c r="C21" s="7"/>
      <c r="D21" s="7"/>
      <c r="E21" s="41"/>
      <c r="F21" s="7"/>
      <c r="G21" s="7"/>
      <c r="H21" s="7"/>
      <c r="I21" s="7"/>
      <c r="J21" s="7"/>
      <c r="K21" s="7"/>
      <c r="L21" s="18"/>
      <c r="M21" s="235">
        <v>220</v>
      </c>
      <c r="N21" s="7">
        <f>SUM(B21:M21)</f>
        <v>220</v>
      </c>
    </row>
    <row r="22" spans="1:14">
      <c r="A22" s="7" t="s">
        <v>327</v>
      </c>
      <c r="B22" s="41"/>
      <c r="C22" s="7"/>
      <c r="D22" s="7"/>
      <c r="E22" s="41"/>
      <c r="F22" s="7"/>
      <c r="G22" s="7"/>
      <c r="H22" s="7"/>
      <c r="I22" s="7"/>
      <c r="J22" s="7"/>
      <c r="K22" s="7"/>
      <c r="L22" s="18"/>
      <c r="M22" s="235">
        <v>35</v>
      </c>
      <c r="N22" s="7">
        <f>SUM(B22:M22)</f>
        <v>35</v>
      </c>
    </row>
    <row r="23" spans="1:14">
      <c r="A23" s="7" t="s">
        <v>328</v>
      </c>
      <c r="B23" s="41"/>
      <c r="C23" s="7"/>
      <c r="D23" s="7"/>
      <c r="E23" s="41"/>
      <c r="F23" s="7"/>
      <c r="G23" s="7"/>
      <c r="H23" s="7"/>
      <c r="I23" s="7"/>
      <c r="J23" s="7"/>
      <c r="K23" s="7"/>
      <c r="L23" s="18"/>
      <c r="M23" s="235">
        <v>7080</v>
      </c>
      <c r="N23" s="7">
        <f>SUM(B23:M23)</f>
        <v>7080</v>
      </c>
    </row>
    <row r="24" spans="1:14">
      <c r="A24" s="7" t="s">
        <v>329</v>
      </c>
      <c r="B24" s="41"/>
      <c r="C24" s="7"/>
      <c r="D24" s="7"/>
      <c r="E24" s="41"/>
      <c r="F24" s="7"/>
      <c r="G24" s="7"/>
      <c r="H24" s="7"/>
      <c r="I24" s="7"/>
      <c r="J24" s="7"/>
      <c r="K24" s="7"/>
      <c r="L24" s="18"/>
      <c r="M24" s="235">
        <v>130</v>
      </c>
      <c r="N24" s="7">
        <f t="shared" si="1"/>
        <v>130</v>
      </c>
    </row>
    <row r="25" spans="1:14">
      <c r="A25" s="7" t="s">
        <v>330</v>
      </c>
      <c r="B25" s="41"/>
      <c r="C25" s="7"/>
      <c r="D25" s="7"/>
      <c r="E25" s="41"/>
      <c r="F25" s="7"/>
      <c r="G25" s="7"/>
      <c r="H25" s="7"/>
      <c r="I25" s="7"/>
      <c r="J25" s="7"/>
      <c r="K25" s="7"/>
      <c r="L25" s="18"/>
      <c r="M25" s="235">
        <v>7800</v>
      </c>
      <c r="N25" s="7">
        <f t="shared" si="0"/>
        <v>7800</v>
      </c>
    </row>
    <row r="26" spans="1:14">
      <c r="A26" s="4" t="s">
        <v>18</v>
      </c>
      <c r="B26" s="291">
        <f t="shared" ref="B26:K26" si="2">SUM(B3:B25)</f>
        <v>8104</v>
      </c>
      <c r="C26" s="291">
        <f t="shared" si="2"/>
        <v>29738</v>
      </c>
      <c r="D26" s="291">
        <f t="shared" si="2"/>
        <v>0</v>
      </c>
      <c r="E26" s="291">
        <f t="shared" si="2"/>
        <v>0</v>
      </c>
      <c r="F26" s="291">
        <f t="shared" si="2"/>
        <v>34452.979999999996</v>
      </c>
      <c r="G26" s="291">
        <f t="shared" si="2"/>
        <v>859.8</v>
      </c>
      <c r="H26" s="291">
        <f t="shared" si="2"/>
        <v>10633</v>
      </c>
      <c r="I26" s="291">
        <f t="shared" si="2"/>
        <v>52378.3</v>
      </c>
      <c r="J26" s="291">
        <f t="shared" si="2"/>
        <v>44066.7</v>
      </c>
      <c r="K26" s="291">
        <f t="shared" si="2"/>
        <v>23911</v>
      </c>
      <c r="L26" s="291">
        <f>SUM(L3:L25)</f>
        <v>264691</v>
      </c>
      <c r="M26" s="291">
        <f>SUM(M3:M25)</f>
        <v>49588</v>
      </c>
      <c r="N26" s="291">
        <f>SUM(N3:N25)</f>
        <v>518422.77999999997</v>
      </c>
    </row>
    <row r="28" spans="1:14">
      <c r="N28" s="315">
        <f>SUM(B26:M26)-N26</f>
        <v>0</v>
      </c>
    </row>
  </sheetData>
  <phoneticPr fontId="31" type="noConversion"/>
  <pageMargins left="0.25" right="0.25" top="0.75" bottom="0.75" header="0.3" footer="0.3"/>
  <pageSetup paperSize="9" scale="8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N20"/>
  <sheetViews>
    <sheetView workbookViewId="0">
      <selection activeCell="N20" sqref="N20"/>
    </sheetView>
  </sheetViews>
  <sheetFormatPr defaultRowHeight="15"/>
  <cols>
    <col min="1" max="1" width="38.28515625" bestFit="1" customWidth="1"/>
    <col min="2" max="2" width="11.28515625" style="36" customWidth="1"/>
    <col min="3" max="3" width="11.140625" customWidth="1"/>
    <col min="4" max="4" width="9" customWidth="1"/>
    <col min="5" max="5" width="9.140625" style="36"/>
    <col min="6" max="6" width="9.7109375" customWidth="1"/>
  </cols>
  <sheetData>
    <row r="1" spans="1:14">
      <c r="A1" s="20" t="s">
        <v>36</v>
      </c>
      <c r="B1" s="31"/>
      <c r="C1" s="2"/>
      <c r="D1" s="2"/>
      <c r="E1" s="31"/>
      <c r="F1" s="4" t="s">
        <v>133</v>
      </c>
      <c r="G1" s="4"/>
      <c r="H1" s="2"/>
      <c r="I1" s="2"/>
      <c r="J1" s="2"/>
      <c r="K1" s="2"/>
      <c r="L1" s="2"/>
      <c r="M1" s="2"/>
      <c r="N1" s="1"/>
    </row>
    <row r="2" spans="1:14">
      <c r="A2" s="1"/>
      <c r="B2" s="27" t="s">
        <v>1</v>
      </c>
      <c r="C2" s="27" t="s">
        <v>2</v>
      </c>
      <c r="D2" s="27" t="s">
        <v>3</v>
      </c>
      <c r="E2" s="28" t="s">
        <v>4</v>
      </c>
      <c r="F2" s="27" t="s">
        <v>5</v>
      </c>
      <c r="G2" s="28" t="s">
        <v>6</v>
      </c>
      <c r="H2" s="27" t="s">
        <v>7</v>
      </c>
      <c r="I2" s="28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 t="s">
        <v>18</v>
      </c>
    </row>
    <row r="3" spans="1:14">
      <c r="A3" s="2"/>
      <c r="B3" s="35"/>
      <c r="C3" s="35"/>
      <c r="D3" s="35"/>
      <c r="E3" s="34"/>
      <c r="F3" s="35"/>
      <c r="G3" s="34"/>
      <c r="H3" s="35"/>
      <c r="I3" s="34"/>
      <c r="J3" s="35"/>
      <c r="K3" s="35"/>
      <c r="L3" s="35"/>
      <c r="M3" s="35"/>
      <c r="N3" s="35"/>
    </row>
    <row r="4" spans="1:14">
      <c r="A4" s="260" t="s">
        <v>135</v>
      </c>
      <c r="B4" s="37"/>
      <c r="C4" s="14"/>
      <c r="D4" s="14"/>
      <c r="E4" s="30"/>
      <c r="F4" s="14"/>
      <c r="G4" s="12"/>
      <c r="H4" s="14"/>
      <c r="I4" s="12"/>
      <c r="J4" s="14"/>
      <c r="K4" s="14"/>
      <c r="L4" s="16"/>
      <c r="M4" s="16"/>
      <c r="N4" s="14"/>
    </row>
    <row r="5" spans="1:14">
      <c r="A5" s="279"/>
      <c r="B5" s="230">
        <v>289397</v>
      </c>
      <c r="C5" s="100"/>
      <c r="D5" s="9"/>
      <c r="E5" s="34"/>
      <c r="F5" s="9"/>
      <c r="G5" s="11"/>
      <c r="H5" s="9"/>
      <c r="I5" s="11"/>
      <c r="J5" s="9"/>
      <c r="K5" s="9"/>
      <c r="L5" s="8"/>
      <c r="M5" s="8"/>
      <c r="N5" s="9">
        <f t="shared" ref="N5:N17" si="0">SUM(B5:M5)</f>
        <v>289397</v>
      </c>
    </row>
    <row r="6" spans="1:14" ht="30">
      <c r="A6" s="288" t="s">
        <v>136</v>
      </c>
      <c r="B6" s="218"/>
      <c r="C6" s="218"/>
      <c r="D6" s="215">
        <v>106094</v>
      </c>
      <c r="E6" s="108"/>
      <c r="F6" s="107"/>
      <c r="G6" s="108"/>
      <c r="H6" s="107"/>
      <c r="I6" s="108"/>
      <c r="J6" s="107"/>
      <c r="K6" s="107"/>
      <c r="L6" s="109"/>
      <c r="M6" s="109"/>
      <c r="N6" s="9">
        <f t="shared" si="0"/>
        <v>106094</v>
      </c>
    </row>
    <row r="7" spans="1:14" ht="30">
      <c r="A7" s="285" t="s">
        <v>137</v>
      </c>
      <c r="B7" s="213"/>
      <c r="C7" s="213"/>
      <c r="D7" s="217">
        <v>74460</v>
      </c>
      <c r="E7" s="104"/>
      <c r="F7" s="103"/>
      <c r="G7" s="104"/>
      <c r="H7" s="103"/>
      <c r="I7" s="104"/>
      <c r="J7" s="103"/>
      <c r="K7" s="103"/>
      <c r="L7" s="105"/>
      <c r="M7" s="105"/>
      <c r="N7" s="9">
        <f t="shared" si="0"/>
        <v>74460</v>
      </c>
    </row>
    <row r="8" spans="1:14">
      <c r="A8" s="281" t="s">
        <v>59</v>
      </c>
      <c r="B8" s="113"/>
      <c r="C8" s="100"/>
      <c r="D8" s="9"/>
      <c r="E8" s="34"/>
      <c r="F8" s="217">
        <v>15500</v>
      </c>
      <c r="G8" s="274">
        <v>15500</v>
      </c>
      <c r="H8" s="9"/>
      <c r="I8" s="11"/>
      <c r="J8" s="9"/>
      <c r="K8" s="9"/>
      <c r="L8" s="8"/>
      <c r="M8" s="8"/>
      <c r="N8" s="9">
        <f t="shared" si="0"/>
        <v>31000</v>
      </c>
    </row>
    <row r="9" spans="1:14">
      <c r="A9" s="282" t="s">
        <v>37</v>
      </c>
      <c r="B9" s="209"/>
      <c r="C9" s="210"/>
      <c r="D9" s="210"/>
      <c r="E9" s="197"/>
      <c r="F9" s="210"/>
      <c r="G9" s="211"/>
      <c r="H9" s="7"/>
      <c r="I9" s="6"/>
      <c r="J9" s="7"/>
      <c r="K9" s="7"/>
      <c r="L9" s="18"/>
      <c r="M9" s="18"/>
      <c r="N9" s="7">
        <f t="shared" si="0"/>
        <v>0</v>
      </c>
    </row>
    <row r="10" spans="1:14">
      <c r="A10" s="280" t="s">
        <v>211</v>
      </c>
      <c r="B10" s="113"/>
      <c r="C10" s="228">
        <v>70949.97</v>
      </c>
      <c r="D10" s="100"/>
      <c r="E10" s="114"/>
      <c r="F10" s="100"/>
      <c r="G10" s="196"/>
      <c r="H10" s="9"/>
      <c r="I10" s="11"/>
      <c r="J10" s="9"/>
      <c r="K10" s="9"/>
      <c r="L10" s="8"/>
      <c r="M10" s="8"/>
      <c r="N10" s="9">
        <f t="shared" si="0"/>
        <v>70949.97</v>
      </c>
    </row>
    <row r="11" spans="1:14">
      <c r="A11" s="254" t="s">
        <v>144</v>
      </c>
      <c r="B11" s="113"/>
      <c r="C11" s="243">
        <v>1194000</v>
      </c>
      <c r="D11" s="68"/>
      <c r="E11" s="114"/>
      <c r="F11" s="100"/>
      <c r="G11" s="196"/>
      <c r="H11" s="9"/>
      <c r="I11" s="11"/>
      <c r="J11" s="9"/>
      <c r="K11" s="9"/>
      <c r="L11" s="8"/>
      <c r="M11" s="8"/>
      <c r="N11" s="9">
        <f t="shared" si="0"/>
        <v>1194000</v>
      </c>
    </row>
    <row r="12" spans="1:14">
      <c r="A12" s="250" t="s">
        <v>145</v>
      </c>
      <c r="B12" s="213"/>
      <c r="C12" s="217">
        <v>105920</v>
      </c>
      <c r="D12" s="217">
        <v>164261</v>
      </c>
      <c r="E12" s="214"/>
      <c r="F12" s="213"/>
      <c r="G12" s="214"/>
      <c r="H12" s="103"/>
      <c r="I12" s="104"/>
      <c r="J12" s="103"/>
      <c r="K12" s="103"/>
      <c r="L12" s="105"/>
      <c r="M12" s="105"/>
      <c r="N12" s="9">
        <f t="shared" si="0"/>
        <v>270181</v>
      </c>
    </row>
    <row r="13" spans="1:14">
      <c r="A13" s="282" t="s">
        <v>102</v>
      </c>
      <c r="B13" s="106"/>
      <c r="C13" s="106"/>
      <c r="D13" s="210"/>
      <c r="E13" s="197"/>
      <c r="F13" s="210"/>
      <c r="G13" s="211"/>
      <c r="H13" s="7"/>
      <c r="I13" s="6"/>
      <c r="J13" s="7"/>
      <c r="K13" s="7"/>
      <c r="L13" s="18"/>
      <c r="M13" s="18"/>
      <c r="N13" s="9">
        <f t="shared" si="0"/>
        <v>0</v>
      </c>
    </row>
    <row r="14" spans="1:14">
      <c r="A14" s="257" t="s">
        <v>104</v>
      </c>
      <c r="B14" s="35"/>
      <c r="C14" s="9"/>
      <c r="D14" s="100"/>
      <c r="E14" s="114"/>
      <c r="F14" s="217">
        <v>19963.29</v>
      </c>
      <c r="G14" s="196"/>
      <c r="H14" s="9"/>
      <c r="I14" s="11"/>
      <c r="J14" s="9"/>
      <c r="K14" s="9"/>
      <c r="L14" s="8"/>
      <c r="M14" s="8"/>
      <c r="N14" s="9">
        <f t="shared" si="0"/>
        <v>19963.29</v>
      </c>
    </row>
    <row r="15" spans="1:14">
      <c r="A15" s="257" t="s">
        <v>143</v>
      </c>
      <c r="B15" s="230">
        <v>10000</v>
      </c>
      <c r="C15" s="9"/>
      <c r="D15" s="100"/>
      <c r="E15" s="114"/>
      <c r="F15" s="100"/>
      <c r="G15" s="196"/>
      <c r="H15" s="9"/>
      <c r="I15" s="11"/>
      <c r="J15" s="9"/>
      <c r="K15" s="9"/>
      <c r="L15" s="8"/>
      <c r="M15" s="8"/>
      <c r="N15" s="9">
        <f t="shared" si="0"/>
        <v>10000</v>
      </c>
    </row>
    <row r="16" spans="1:14">
      <c r="A16" s="283" t="s">
        <v>168</v>
      </c>
      <c r="B16" s="35"/>
      <c r="C16" s="9"/>
      <c r="D16" s="9"/>
      <c r="E16" s="217">
        <v>160000</v>
      </c>
      <c r="F16" s="9"/>
      <c r="G16" s="11"/>
      <c r="H16" s="9"/>
      <c r="I16" s="11"/>
      <c r="J16" s="9"/>
      <c r="K16" s="9"/>
      <c r="L16" s="8"/>
      <c r="M16" s="8"/>
      <c r="N16" s="9">
        <f t="shared" si="0"/>
        <v>160000</v>
      </c>
    </row>
    <row r="17" spans="1:14">
      <c r="A17" s="283" t="s">
        <v>185</v>
      </c>
      <c r="B17" s="230">
        <v>92000</v>
      </c>
      <c r="C17" s="9"/>
      <c r="D17" s="9"/>
      <c r="E17" s="34"/>
      <c r="F17" s="9"/>
      <c r="G17" s="11"/>
      <c r="H17" s="9"/>
      <c r="I17" s="11"/>
      <c r="J17" s="9"/>
      <c r="K17" s="9"/>
      <c r="L17" s="8"/>
      <c r="M17" s="8"/>
      <c r="N17" s="9">
        <f t="shared" si="0"/>
        <v>92000</v>
      </c>
    </row>
    <row r="18" spans="1:14">
      <c r="A18" s="4" t="s">
        <v>18</v>
      </c>
      <c r="B18" s="291">
        <f t="shared" ref="B18:N18" si="1">SUM(B5:B17)</f>
        <v>391397</v>
      </c>
      <c r="C18" s="291">
        <f t="shared" si="1"/>
        <v>1370869.97</v>
      </c>
      <c r="D18" s="291">
        <f t="shared" si="1"/>
        <v>344815</v>
      </c>
      <c r="E18" s="291">
        <f t="shared" si="1"/>
        <v>160000</v>
      </c>
      <c r="F18" s="291">
        <f t="shared" si="1"/>
        <v>35463.29</v>
      </c>
      <c r="G18" s="291">
        <f t="shared" si="1"/>
        <v>15500</v>
      </c>
      <c r="H18" s="291">
        <f t="shared" si="1"/>
        <v>0</v>
      </c>
      <c r="I18" s="291">
        <f t="shared" si="1"/>
        <v>0</v>
      </c>
      <c r="J18" s="291">
        <f t="shared" si="1"/>
        <v>0</v>
      </c>
      <c r="K18" s="291">
        <f t="shared" si="1"/>
        <v>0</v>
      </c>
      <c r="L18" s="291">
        <f t="shared" si="1"/>
        <v>0</v>
      </c>
      <c r="M18" s="291">
        <f t="shared" si="1"/>
        <v>0</v>
      </c>
      <c r="N18" s="291">
        <f t="shared" si="1"/>
        <v>2318045.2599999998</v>
      </c>
    </row>
    <row r="20" spans="1:14">
      <c r="N20" s="315">
        <f>SUM(B18:M18)-N18</f>
        <v>0</v>
      </c>
    </row>
  </sheetData>
  <phoneticPr fontId="31" type="noConversion"/>
  <pageMargins left="0.25" right="0.25" top="0.75" bottom="0.75" header="0.3" footer="0.3"/>
  <pageSetup paperSize="9" scale="8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2" tint="-0.89999084444715716"/>
    <pageSetUpPr fitToPage="1"/>
  </sheetPr>
  <dimension ref="A1:N24"/>
  <sheetViews>
    <sheetView workbookViewId="0">
      <selection activeCell="B7" sqref="B7"/>
    </sheetView>
  </sheetViews>
  <sheetFormatPr defaultRowHeight="15"/>
  <cols>
    <col min="1" max="1" width="38.7109375" bestFit="1" customWidth="1"/>
    <col min="2" max="2" width="7.5703125" bestFit="1" customWidth="1"/>
    <col min="3" max="3" width="9" style="36" bestFit="1" customWidth="1"/>
    <col min="4" max="4" width="6.5703125" bestFit="1" customWidth="1"/>
    <col min="5" max="5" width="8.7109375" bestFit="1" customWidth="1"/>
    <col min="6" max="6" width="11.5703125" style="36" bestFit="1" customWidth="1"/>
    <col min="7" max="7" width="7" style="36" bestFit="1" customWidth="1"/>
    <col min="8" max="8" width="9" bestFit="1" customWidth="1"/>
    <col min="9" max="9" width="7" bestFit="1" customWidth="1"/>
    <col min="10" max="10" width="8.28515625" bestFit="1" customWidth="1"/>
    <col min="11" max="11" width="6.5703125" bestFit="1" customWidth="1"/>
    <col min="12" max="12" width="7" bestFit="1" customWidth="1"/>
    <col min="13" max="13" width="6.5703125" bestFit="1" customWidth="1"/>
    <col min="14" max="14" width="9" bestFit="1" customWidth="1"/>
  </cols>
  <sheetData>
    <row r="1" spans="1:14">
      <c r="A1" s="20" t="s">
        <v>38</v>
      </c>
      <c r="B1" s="2"/>
      <c r="C1" s="31"/>
      <c r="D1" s="2"/>
      <c r="E1" s="2"/>
      <c r="F1" s="33" t="s">
        <v>133</v>
      </c>
      <c r="G1" s="33"/>
      <c r="H1" s="2"/>
      <c r="I1" s="2"/>
      <c r="J1" s="2"/>
      <c r="K1" s="2"/>
      <c r="L1" s="2"/>
      <c r="M1" s="2"/>
      <c r="N1" s="1"/>
    </row>
    <row r="2" spans="1:14">
      <c r="A2" s="1"/>
      <c r="B2" s="27" t="s">
        <v>1</v>
      </c>
      <c r="C2" s="27" t="s">
        <v>2</v>
      </c>
      <c r="D2" s="27" t="s">
        <v>3</v>
      </c>
      <c r="E2" s="28" t="s">
        <v>4</v>
      </c>
      <c r="F2" s="27" t="s">
        <v>5</v>
      </c>
      <c r="G2" s="28" t="s">
        <v>6</v>
      </c>
      <c r="H2" s="27" t="s">
        <v>7</v>
      </c>
      <c r="I2" s="28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 t="s">
        <v>18</v>
      </c>
    </row>
    <row r="3" spans="1:14">
      <c r="A3" s="2"/>
      <c r="B3" s="35"/>
      <c r="C3" s="35"/>
      <c r="D3" s="35"/>
      <c r="E3" s="34"/>
      <c r="F3" s="35"/>
      <c r="G3" s="34"/>
      <c r="H3" s="35"/>
      <c r="I3" s="34"/>
      <c r="J3" s="35"/>
      <c r="K3" s="35"/>
      <c r="L3" s="35"/>
      <c r="M3" s="35"/>
      <c r="N3" s="35"/>
    </row>
    <row r="4" spans="1:14">
      <c r="A4" s="1" t="s">
        <v>62</v>
      </c>
      <c r="B4" s="101"/>
      <c r="C4" s="115"/>
      <c r="D4" s="101"/>
      <c r="E4" s="120"/>
      <c r="F4" s="115"/>
      <c r="G4" s="208"/>
      <c r="H4" s="101"/>
      <c r="I4" s="120"/>
      <c r="J4" s="14"/>
      <c r="K4" s="14"/>
      <c r="L4" s="16"/>
      <c r="M4" s="16"/>
      <c r="N4" s="14"/>
    </row>
    <row r="5" spans="1:14">
      <c r="A5" s="2" t="s">
        <v>39</v>
      </c>
      <c r="B5" s="228">
        <v>95000</v>
      </c>
      <c r="C5" s="113"/>
      <c r="D5" s="228">
        <v>32000</v>
      </c>
      <c r="E5" s="228">
        <v>32000</v>
      </c>
      <c r="F5" s="113"/>
      <c r="G5" s="269">
        <v>16000</v>
      </c>
      <c r="H5" s="228">
        <v>16000</v>
      </c>
      <c r="I5" s="196"/>
      <c r="J5" s="9"/>
      <c r="K5" s="228">
        <v>16000</v>
      </c>
      <c r="L5" s="228">
        <v>16300</v>
      </c>
      <c r="M5" s="228">
        <v>16300</v>
      </c>
      <c r="N5" s="9">
        <f t="shared" ref="N5:N10" si="0">SUM(B5:M5)</f>
        <v>239600</v>
      </c>
    </row>
    <row r="6" spans="1:14">
      <c r="A6" s="305" t="s">
        <v>233</v>
      </c>
      <c r="B6" s="221"/>
      <c r="C6" s="222"/>
      <c r="D6" s="221"/>
      <c r="E6" s="223"/>
      <c r="F6" s="222"/>
      <c r="G6" s="222"/>
      <c r="H6" s="221"/>
      <c r="I6" s="311">
        <v>1000</v>
      </c>
      <c r="J6" s="26"/>
      <c r="K6" s="26"/>
      <c r="L6" s="26"/>
      <c r="M6" s="228">
        <v>2000</v>
      </c>
      <c r="N6" s="9">
        <f t="shared" si="0"/>
        <v>3000</v>
      </c>
    </row>
    <row r="7" spans="1:14">
      <c r="A7" s="305" t="s">
        <v>105</v>
      </c>
      <c r="B7" s="228">
        <v>7545</v>
      </c>
      <c r="C7" s="230">
        <f>139261-70949.97</f>
        <v>68311.03</v>
      </c>
      <c r="D7" s="100"/>
      <c r="E7" s="196"/>
      <c r="F7" s="113"/>
      <c r="G7" s="114"/>
      <c r="H7" s="100"/>
      <c r="I7" s="196"/>
      <c r="J7" s="9"/>
      <c r="K7" s="9"/>
      <c r="L7" s="8"/>
      <c r="M7" s="8"/>
      <c r="N7" s="9">
        <f t="shared" si="0"/>
        <v>75856.03</v>
      </c>
    </row>
    <row r="8" spans="1:14" ht="26.25">
      <c r="A8" s="305" t="s">
        <v>273</v>
      </c>
      <c r="B8" s="100"/>
      <c r="C8" s="113"/>
      <c r="D8" s="100"/>
      <c r="E8" s="196"/>
      <c r="F8" s="113"/>
      <c r="G8" s="114"/>
      <c r="H8" s="100"/>
      <c r="I8" s="196"/>
      <c r="J8" s="9"/>
      <c r="K8" s="228">
        <f>120+70+480+130+40+18+198</f>
        <v>1056</v>
      </c>
      <c r="L8" s="8"/>
      <c r="M8" s="8"/>
      <c r="N8" s="9">
        <f t="shared" si="0"/>
        <v>1056</v>
      </c>
    </row>
    <row r="9" spans="1:14" ht="26.25">
      <c r="A9" s="289" t="s">
        <v>63</v>
      </c>
      <c r="B9" s="210"/>
      <c r="C9" s="106"/>
      <c r="D9" s="210"/>
      <c r="E9" s="210"/>
      <c r="F9" s="106"/>
      <c r="G9" s="106"/>
      <c r="H9" s="235">
        <v>12058.42</v>
      </c>
      <c r="I9" s="210"/>
      <c r="J9" s="7"/>
      <c r="K9" s="7"/>
      <c r="L9" s="18"/>
      <c r="M9" s="18"/>
      <c r="N9" s="9">
        <f t="shared" si="0"/>
        <v>12058.42</v>
      </c>
    </row>
    <row r="10" spans="1:14">
      <c r="A10" s="251" t="s">
        <v>218</v>
      </c>
      <c r="B10" s="100"/>
      <c r="C10" s="113"/>
      <c r="D10" s="100"/>
      <c r="E10" s="196"/>
      <c r="F10" s="113"/>
      <c r="G10" s="114"/>
      <c r="H10" s="228">
        <f>310+100</f>
        <v>410</v>
      </c>
      <c r="I10" s="196"/>
      <c r="J10" s="9"/>
      <c r="K10" s="9"/>
      <c r="L10" s="8"/>
      <c r="M10" s="8"/>
      <c r="N10" s="9">
        <f t="shared" si="0"/>
        <v>410</v>
      </c>
    </row>
    <row r="11" spans="1:14">
      <c r="A11" s="251" t="s">
        <v>151</v>
      </c>
      <c r="B11" s="100"/>
      <c r="C11" s="230">
        <v>2450</v>
      </c>
      <c r="D11" s="100"/>
      <c r="E11" s="196"/>
      <c r="F11" s="113"/>
      <c r="G11" s="114"/>
      <c r="H11" s="100"/>
      <c r="I11" s="196"/>
      <c r="J11" s="9"/>
      <c r="K11" s="9"/>
      <c r="L11" s="8"/>
      <c r="M11" s="8"/>
      <c r="N11" s="7">
        <f t="shared" ref="N11:N21" si="1">SUM(B11:M11)</f>
        <v>2450</v>
      </c>
    </row>
    <row r="12" spans="1:14">
      <c r="A12" s="251" t="s">
        <v>184</v>
      </c>
      <c r="B12" s="100"/>
      <c r="C12" s="113"/>
      <c r="D12" s="100"/>
      <c r="E12" s="196"/>
      <c r="F12" s="230">
        <v>1643.2</v>
      </c>
      <c r="G12" s="114"/>
      <c r="H12" s="228">
        <v>816</v>
      </c>
      <c r="I12" s="196"/>
      <c r="J12" s="228">
        <v>820</v>
      </c>
      <c r="K12" s="228">
        <f>1640+820</f>
        <v>2460</v>
      </c>
      <c r="L12" s="322">
        <v>835.6</v>
      </c>
      <c r="M12" s="8"/>
      <c r="N12" s="7">
        <f t="shared" si="1"/>
        <v>6574.8</v>
      </c>
    </row>
    <row r="13" spans="1:14">
      <c r="A13" s="251" t="s">
        <v>267</v>
      </c>
      <c r="B13" s="100"/>
      <c r="C13" s="113"/>
      <c r="D13" s="100"/>
      <c r="E13" s="196"/>
      <c r="F13" s="196"/>
      <c r="G13" s="196"/>
      <c r="H13" s="196"/>
      <c r="I13" s="196"/>
      <c r="J13" s="196"/>
      <c r="K13" s="228">
        <v>14900</v>
      </c>
      <c r="L13" s="8"/>
      <c r="M13" s="8"/>
      <c r="N13" s="7">
        <f t="shared" si="1"/>
        <v>14900</v>
      </c>
    </row>
    <row r="14" spans="1:14">
      <c r="A14" s="251" t="s">
        <v>270</v>
      </c>
      <c r="B14" s="100"/>
      <c r="C14" s="113"/>
      <c r="D14" s="100"/>
      <c r="E14" s="196"/>
      <c r="F14" s="196"/>
      <c r="G14" s="196"/>
      <c r="H14" s="196"/>
      <c r="I14" s="196"/>
      <c r="J14" s="196"/>
      <c r="K14" s="228">
        <f>80+64+80+90+82</f>
        <v>396</v>
      </c>
      <c r="L14" s="8"/>
      <c r="M14" s="8"/>
      <c r="N14" s="7">
        <f t="shared" si="1"/>
        <v>396</v>
      </c>
    </row>
    <row r="15" spans="1:14">
      <c r="A15" s="251" t="s">
        <v>194</v>
      </c>
      <c r="B15" s="7"/>
      <c r="C15" s="41"/>
      <c r="D15" s="7"/>
      <c r="E15" s="6"/>
      <c r="F15" s="41"/>
      <c r="G15" s="270">
        <v>1725</v>
      </c>
      <c r="H15" s="7"/>
      <c r="I15" s="6"/>
      <c r="J15" s="7"/>
      <c r="K15" s="7"/>
      <c r="L15" s="18"/>
      <c r="M15" s="18"/>
      <c r="N15" s="7">
        <f t="shared" ref="N15:N20" si="2">SUM(B15:M15)</f>
        <v>1725</v>
      </c>
    </row>
    <row r="16" spans="1:14">
      <c r="A16" s="251" t="s">
        <v>307</v>
      </c>
      <c r="B16" s="7"/>
      <c r="C16" s="41"/>
      <c r="D16" s="7"/>
      <c r="E16" s="6"/>
      <c r="F16" s="41"/>
      <c r="G16" s="41"/>
      <c r="H16" s="7"/>
      <c r="I16" s="6"/>
      <c r="J16" s="7"/>
      <c r="K16" s="7"/>
      <c r="L16" s="313">
        <v>9000</v>
      </c>
      <c r="M16" s="18"/>
      <c r="N16" s="7">
        <f t="shared" si="2"/>
        <v>9000</v>
      </c>
    </row>
    <row r="17" spans="1:14">
      <c r="A17" s="286" t="s">
        <v>305</v>
      </c>
      <c r="B17" s="41"/>
      <c r="C17" s="7"/>
      <c r="D17" s="7"/>
      <c r="E17" s="7"/>
      <c r="F17" s="7"/>
      <c r="G17" s="7"/>
      <c r="H17" s="7"/>
      <c r="I17" s="7"/>
      <c r="J17" s="7"/>
      <c r="K17" s="7"/>
      <c r="L17" s="235">
        <v>9000</v>
      </c>
      <c r="M17" s="18"/>
      <c r="N17" s="7">
        <f>SUM(B17:M17)</f>
        <v>9000</v>
      </c>
    </row>
    <row r="18" spans="1:14">
      <c r="A18" s="257" t="s">
        <v>306</v>
      </c>
      <c r="B18" s="41"/>
      <c r="C18" s="7"/>
      <c r="D18" s="7"/>
      <c r="E18" s="6"/>
      <c r="F18" s="7"/>
      <c r="G18" s="7"/>
      <c r="H18" s="7"/>
      <c r="I18" s="6"/>
      <c r="J18" s="7"/>
      <c r="K18" s="7"/>
      <c r="L18" s="235">
        <v>8000</v>
      </c>
      <c r="M18" s="18"/>
      <c r="N18" s="7">
        <f>SUM(B18:M18)</f>
        <v>8000</v>
      </c>
    </row>
    <row r="19" spans="1:14">
      <c r="A19" s="251" t="s">
        <v>276</v>
      </c>
      <c r="B19" s="7"/>
      <c r="C19" s="41"/>
      <c r="D19" s="7"/>
      <c r="E19" s="6"/>
      <c r="F19" s="41"/>
      <c r="G19" s="41"/>
      <c r="H19" s="7"/>
      <c r="I19" s="6"/>
      <c r="J19" s="7"/>
      <c r="K19" s="7"/>
      <c r="L19" s="313">
        <v>1680</v>
      </c>
      <c r="M19" s="18"/>
      <c r="N19" s="7">
        <f t="shared" si="2"/>
        <v>1680</v>
      </c>
    </row>
    <row r="20" spans="1:14">
      <c r="A20" s="251" t="s">
        <v>277</v>
      </c>
      <c r="B20" s="7"/>
      <c r="C20" s="41"/>
      <c r="D20" s="7"/>
      <c r="E20" s="6"/>
      <c r="F20" s="41"/>
      <c r="G20" s="41"/>
      <c r="H20" s="7"/>
      <c r="I20" s="6"/>
      <c r="J20" s="7"/>
      <c r="K20" s="7"/>
      <c r="L20" s="313">
        <v>390</v>
      </c>
      <c r="M20" s="18"/>
      <c r="N20" s="7">
        <f t="shared" si="2"/>
        <v>390</v>
      </c>
    </row>
    <row r="21" spans="1:14">
      <c r="A21" s="251" t="s">
        <v>297</v>
      </c>
      <c r="B21" s="7"/>
      <c r="C21" s="41"/>
      <c r="D21" s="7"/>
      <c r="E21" s="6"/>
      <c r="F21" s="41"/>
      <c r="G21" s="41"/>
      <c r="H21" s="7"/>
      <c r="I21" s="6"/>
      <c r="J21" s="7"/>
      <c r="K21" s="7"/>
      <c r="L21" s="313">
        <v>17537.38</v>
      </c>
      <c r="M21" s="18"/>
      <c r="N21" s="7">
        <f t="shared" si="1"/>
        <v>17537.38</v>
      </c>
    </row>
    <row r="22" spans="1:14">
      <c r="A22" s="4" t="s">
        <v>18</v>
      </c>
      <c r="B22" s="292">
        <f t="shared" ref="B22:N22" si="3">SUM(B4:B21)</f>
        <v>102545</v>
      </c>
      <c r="C22" s="291">
        <f t="shared" si="3"/>
        <v>70761.03</v>
      </c>
      <c r="D22" s="292">
        <f t="shared" si="3"/>
        <v>32000</v>
      </c>
      <c r="E22" s="292">
        <f t="shared" si="3"/>
        <v>32000</v>
      </c>
      <c r="F22" s="292">
        <f t="shared" si="3"/>
        <v>1643.2</v>
      </c>
      <c r="G22" s="292">
        <f t="shared" si="3"/>
        <v>17725</v>
      </c>
      <c r="H22" s="292">
        <f t="shared" si="3"/>
        <v>29284.42</v>
      </c>
      <c r="I22" s="292">
        <f t="shared" si="3"/>
        <v>1000</v>
      </c>
      <c r="J22" s="292">
        <f t="shared" si="3"/>
        <v>820</v>
      </c>
      <c r="K22" s="292">
        <f t="shared" si="3"/>
        <v>34812</v>
      </c>
      <c r="L22" s="292">
        <f t="shared" si="3"/>
        <v>62742.979999999996</v>
      </c>
      <c r="M22" s="292">
        <f t="shared" si="3"/>
        <v>18300</v>
      </c>
      <c r="N22" s="292">
        <f t="shared" si="3"/>
        <v>403633.63</v>
      </c>
    </row>
    <row r="24" spans="1:14">
      <c r="N24" s="315">
        <f>SUM(B22:M22)-N22</f>
        <v>0</v>
      </c>
    </row>
  </sheetData>
  <phoneticPr fontId="31" type="noConversion"/>
  <pageMargins left="0.25" right="0.25" top="0.75" bottom="0.75" header="0.3" footer="0.3"/>
  <pageSetup paperSize="9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N23"/>
  <sheetViews>
    <sheetView workbookViewId="0">
      <selection activeCell="L5" sqref="L5"/>
    </sheetView>
  </sheetViews>
  <sheetFormatPr defaultRowHeight="15"/>
  <cols>
    <col min="1" max="1" width="19.7109375" bestFit="1" customWidth="1"/>
    <col min="2" max="2" width="7.85546875" customWidth="1"/>
    <col min="3" max="3" width="8" customWidth="1"/>
    <col min="4" max="4" width="7.5703125" customWidth="1"/>
    <col min="5" max="5" width="8.140625" customWidth="1"/>
    <col min="6" max="6" width="9.85546875" customWidth="1"/>
  </cols>
  <sheetData>
    <row r="1" spans="1:14">
      <c r="A1" s="4" t="s">
        <v>81</v>
      </c>
      <c r="B1" s="2"/>
      <c r="C1" s="2"/>
      <c r="D1" s="2"/>
      <c r="E1" s="2"/>
      <c r="F1" s="4" t="s">
        <v>133</v>
      </c>
      <c r="G1" s="4"/>
      <c r="H1" s="2"/>
      <c r="I1" s="2"/>
      <c r="J1" s="2"/>
      <c r="K1" s="2"/>
      <c r="L1" s="2"/>
      <c r="M1" s="2"/>
      <c r="N1" s="1"/>
    </row>
    <row r="2" spans="1:14">
      <c r="A2" s="1"/>
      <c r="B2" s="13" t="s">
        <v>1</v>
      </c>
      <c r="C2" s="13" t="s">
        <v>2</v>
      </c>
      <c r="D2" s="13" t="s">
        <v>3</v>
      </c>
      <c r="E2" s="10" t="s">
        <v>4</v>
      </c>
      <c r="F2" s="13" t="s">
        <v>5</v>
      </c>
      <c r="G2" s="10" t="s">
        <v>6</v>
      </c>
      <c r="H2" s="13" t="s">
        <v>7</v>
      </c>
      <c r="I2" s="10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/>
    </row>
    <row r="3" spans="1:14">
      <c r="A3" s="2"/>
      <c r="B3" s="9"/>
      <c r="C3" s="9"/>
      <c r="D3" s="9"/>
      <c r="E3" s="11"/>
      <c r="F3" s="9"/>
      <c r="G3" s="11"/>
      <c r="H3" s="9"/>
      <c r="I3" s="11"/>
      <c r="J3" s="9"/>
      <c r="K3" s="9"/>
      <c r="L3" s="9"/>
      <c r="M3" s="9"/>
      <c r="N3" s="9"/>
    </row>
    <row r="4" spans="1:14">
      <c r="A4" s="1" t="s">
        <v>40</v>
      </c>
      <c r="B4" s="219"/>
      <c r="C4" s="236">
        <v>3827</v>
      </c>
      <c r="D4" s="236">
        <v>2602</v>
      </c>
      <c r="E4" s="220"/>
      <c r="F4" s="219"/>
      <c r="G4" s="220"/>
      <c r="H4" s="219"/>
      <c r="I4" s="310">
        <v>5208</v>
      </c>
      <c r="J4" s="236">
        <f>6192.32</f>
        <v>6192.32</v>
      </c>
      <c r="K4" s="236">
        <v>11614.95</v>
      </c>
      <c r="L4" s="323">
        <v>13827.68</v>
      </c>
      <c r="M4" s="17"/>
      <c r="N4" s="9">
        <f>SUM(B4:M4)</f>
        <v>43271.95</v>
      </c>
    </row>
    <row r="5" spans="1:14">
      <c r="A5" s="2" t="s">
        <v>255</v>
      </c>
      <c r="B5" s="100"/>
      <c r="C5" s="100"/>
      <c r="D5" s="100"/>
      <c r="E5" s="196"/>
      <c r="F5" s="100"/>
      <c r="G5" s="196"/>
      <c r="H5" s="100"/>
      <c r="I5" s="196"/>
      <c r="J5" s="228">
        <v>10613</v>
      </c>
      <c r="K5" s="9"/>
      <c r="L5" s="8"/>
      <c r="M5" s="8"/>
      <c r="N5" s="9">
        <f>SUM(B5:M5)</f>
        <v>10613</v>
      </c>
    </row>
    <row r="6" spans="1:14">
      <c r="A6" s="2" t="s">
        <v>278</v>
      </c>
      <c r="B6" s="100"/>
      <c r="C6" s="100"/>
      <c r="D6" s="100"/>
      <c r="E6" s="196"/>
      <c r="F6" s="100"/>
      <c r="G6" s="196"/>
      <c r="H6" s="100"/>
      <c r="I6" s="196"/>
      <c r="J6" s="196"/>
      <c r="K6" s="9"/>
      <c r="L6" s="322">
        <v>65</v>
      </c>
      <c r="M6" s="8"/>
      <c r="N6" s="9">
        <f>SUM(B6:M6)</f>
        <v>65</v>
      </c>
    </row>
    <row r="7" spans="1:14">
      <c r="A7" s="2" t="s">
        <v>41</v>
      </c>
      <c r="B7" s="100"/>
      <c r="C7" s="100"/>
      <c r="D7" s="100"/>
      <c r="E7" s="196"/>
      <c r="F7" s="100"/>
      <c r="G7" s="196"/>
      <c r="H7" s="100"/>
      <c r="I7" s="196"/>
      <c r="J7" s="9"/>
      <c r="K7" s="9"/>
      <c r="L7" s="8"/>
      <c r="M7" s="8"/>
      <c r="N7" s="9">
        <f>SUM(B7:M7)</f>
        <v>0</v>
      </c>
    </row>
    <row r="8" spans="1:14">
      <c r="A8" s="2" t="s">
        <v>42</v>
      </c>
      <c r="B8" s="228">
        <v>16768</v>
      </c>
      <c r="C8" s="100"/>
      <c r="D8" s="100"/>
      <c r="E8" s="196"/>
      <c r="F8" s="100"/>
      <c r="G8" s="196"/>
      <c r="H8" s="100"/>
      <c r="I8" s="196"/>
      <c r="J8" s="9"/>
      <c r="K8" s="9"/>
      <c r="L8" s="8"/>
      <c r="M8" s="8"/>
      <c r="N8" s="9">
        <f>SUM(B8:M8)</f>
        <v>16768</v>
      </c>
    </row>
    <row r="9" spans="1:14">
      <c r="A9" s="264" t="s">
        <v>214</v>
      </c>
      <c r="B9" s="210"/>
      <c r="C9" s="210"/>
      <c r="D9" s="210"/>
      <c r="E9" s="211"/>
      <c r="F9" s="210"/>
      <c r="G9" s="211"/>
      <c r="H9" s="235">
        <v>10620</v>
      </c>
      <c r="I9" s="211"/>
      <c r="J9" s="7"/>
      <c r="K9" s="7"/>
      <c r="L9" s="18"/>
      <c r="M9" s="18"/>
      <c r="N9" s="9">
        <f t="shared" ref="N9:N20" si="0">SUM(B9:M9)</f>
        <v>10620</v>
      </c>
    </row>
    <row r="10" spans="1:14">
      <c r="A10" s="251" t="s">
        <v>163</v>
      </c>
      <c r="B10" s="100"/>
      <c r="C10" s="100"/>
      <c r="D10" s="100"/>
      <c r="E10" s="196"/>
      <c r="F10" s="228">
        <v>2816.93</v>
      </c>
      <c r="G10" s="274">
        <v>5326.6</v>
      </c>
      <c r="H10" s="228">
        <v>12516.78</v>
      </c>
      <c r="I10" s="196"/>
      <c r="J10" s="9"/>
      <c r="K10" s="9"/>
      <c r="L10" s="8"/>
      <c r="M10" s="8"/>
      <c r="N10" s="9">
        <f t="shared" si="0"/>
        <v>20660.310000000001</v>
      </c>
    </row>
    <row r="11" spans="1:14">
      <c r="A11" s="5" t="s">
        <v>189</v>
      </c>
      <c r="B11" s="100"/>
      <c r="C11" s="100"/>
      <c r="D11" s="100"/>
      <c r="E11" s="196"/>
      <c r="F11" s="100"/>
      <c r="G11" s="274">
        <f>8110.97+1592.65+2208.02+10775.04</f>
        <v>22686.68</v>
      </c>
      <c r="H11" s="228">
        <f>17906.97+7752.01</f>
        <v>25658.980000000003</v>
      </c>
      <c r="I11" s="196"/>
      <c r="J11" s="9"/>
      <c r="K11" s="9"/>
      <c r="L11" s="8"/>
      <c r="M11" s="8"/>
      <c r="N11" s="9">
        <f t="shared" si="0"/>
        <v>48345.66</v>
      </c>
    </row>
    <row r="12" spans="1:14">
      <c r="A12" s="2" t="s">
        <v>190</v>
      </c>
      <c r="B12" s="9"/>
      <c r="C12" s="9"/>
      <c r="D12" s="9"/>
      <c r="E12" s="11"/>
      <c r="F12" s="9"/>
      <c r="G12" s="274">
        <v>8310</v>
      </c>
      <c r="H12" s="9"/>
      <c r="I12" s="11"/>
      <c r="J12" s="9"/>
      <c r="K12" s="9"/>
      <c r="L12" s="8"/>
      <c r="M12" s="8"/>
      <c r="N12" s="9">
        <f t="shared" si="0"/>
        <v>8310</v>
      </c>
    </row>
    <row r="13" spans="1:14">
      <c r="A13" s="249" t="s">
        <v>196</v>
      </c>
      <c r="B13" s="9"/>
      <c r="C13" s="9"/>
      <c r="D13" s="9"/>
      <c r="E13" s="11"/>
      <c r="F13" s="9"/>
      <c r="G13" s="290">
        <v>1064</v>
      </c>
      <c r="H13" s="9"/>
      <c r="I13" s="11"/>
      <c r="J13" s="9"/>
      <c r="K13" s="9"/>
      <c r="L13" s="8"/>
      <c r="M13" s="8"/>
      <c r="N13" s="9">
        <f t="shared" si="0"/>
        <v>1064</v>
      </c>
    </row>
    <row r="14" spans="1:14">
      <c r="A14" s="3" t="s">
        <v>197</v>
      </c>
      <c r="B14" s="7"/>
      <c r="C14" s="7"/>
      <c r="D14" s="7"/>
      <c r="E14" s="6"/>
      <c r="F14" s="7"/>
      <c r="G14" s="273">
        <f>992+294</f>
        <v>1286</v>
      </c>
      <c r="H14" s="7"/>
      <c r="I14" s="6"/>
      <c r="J14" s="7"/>
      <c r="K14" s="7"/>
      <c r="L14" s="18"/>
      <c r="M14" s="18"/>
      <c r="N14" s="9">
        <f t="shared" si="0"/>
        <v>1286</v>
      </c>
    </row>
    <row r="15" spans="1:14">
      <c r="A15" s="5" t="s">
        <v>213</v>
      </c>
      <c r="B15" s="7"/>
      <c r="C15" s="7"/>
      <c r="D15" s="7"/>
      <c r="E15" s="6"/>
      <c r="F15" s="7"/>
      <c r="G15" s="6"/>
      <c r="H15" s="235">
        <v>2297.84</v>
      </c>
      <c r="I15" s="6"/>
      <c r="J15" s="7"/>
      <c r="K15" s="7"/>
      <c r="L15" s="18"/>
      <c r="M15" s="18"/>
      <c r="N15" s="9">
        <f t="shared" si="0"/>
        <v>2297.84</v>
      </c>
    </row>
    <row r="16" spans="1:14">
      <c r="A16" s="7" t="s">
        <v>219</v>
      </c>
      <c r="B16" s="7"/>
      <c r="C16" s="7"/>
      <c r="D16" s="7"/>
      <c r="E16" s="7"/>
      <c r="F16" s="7"/>
      <c r="G16" s="7"/>
      <c r="H16" s="235">
        <v>342</v>
      </c>
      <c r="I16" s="7"/>
      <c r="J16" s="7"/>
      <c r="K16" s="7"/>
      <c r="L16" s="18"/>
      <c r="M16" s="18"/>
      <c r="N16" s="9">
        <f t="shared" si="0"/>
        <v>342</v>
      </c>
    </row>
    <row r="17" spans="1:14">
      <c r="A17" s="7" t="s">
        <v>220</v>
      </c>
      <c r="B17" s="7"/>
      <c r="C17" s="7"/>
      <c r="D17" s="7"/>
      <c r="E17" s="7"/>
      <c r="F17" s="7"/>
      <c r="G17" s="7"/>
      <c r="H17" s="235">
        <v>420</v>
      </c>
      <c r="I17" s="7"/>
      <c r="J17" s="7"/>
      <c r="K17" s="7"/>
      <c r="L17" s="18"/>
      <c r="M17" s="18"/>
      <c r="N17" s="9">
        <f t="shared" si="0"/>
        <v>420</v>
      </c>
    </row>
    <row r="18" spans="1:14">
      <c r="A18" s="7" t="s">
        <v>221</v>
      </c>
      <c r="B18" s="7"/>
      <c r="C18" s="7"/>
      <c r="D18" s="7"/>
      <c r="E18" s="7"/>
      <c r="F18" s="7"/>
      <c r="G18" s="7"/>
      <c r="H18" s="235">
        <v>850</v>
      </c>
      <c r="I18" s="7"/>
      <c r="J18" s="7"/>
      <c r="K18" s="7"/>
      <c r="L18" s="18"/>
      <c r="M18" s="18"/>
      <c r="N18" s="9">
        <f t="shared" si="0"/>
        <v>850</v>
      </c>
    </row>
    <row r="19" spans="1:14">
      <c r="A19" s="7" t="s">
        <v>222</v>
      </c>
      <c r="B19" s="7"/>
      <c r="C19" s="7"/>
      <c r="D19" s="7"/>
      <c r="E19" s="7"/>
      <c r="F19" s="7"/>
      <c r="G19" s="7"/>
      <c r="H19" s="235">
        <v>560</v>
      </c>
      <c r="I19" s="7"/>
      <c r="J19" s="7"/>
      <c r="K19" s="7"/>
      <c r="L19" s="18"/>
      <c r="M19" s="18"/>
      <c r="N19" s="9">
        <f t="shared" si="0"/>
        <v>560</v>
      </c>
    </row>
    <row r="20" spans="1:14">
      <c r="A20" s="7" t="s">
        <v>223</v>
      </c>
      <c r="B20" s="7"/>
      <c r="C20" s="7"/>
      <c r="D20" s="7"/>
      <c r="E20" s="7"/>
      <c r="F20" s="7"/>
      <c r="G20" s="7"/>
      <c r="H20" s="235">
        <v>728.2</v>
      </c>
      <c r="I20" s="7"/>
      <c r="J20" s="7"/>
      <c r="K20" s="7"/>
      <c r="L20" s="18"/>
      <c r="M20" s="18"/>
      <c r="N20" s="9">
        <f t="shared" si="0"/>
        <v>728.2</v>
      </c>
    </row>
    <row r="21" spans="1:14">
      <c r="A21" s="4" t="s">
        <v>18</v>
      </c>
      <c r="B21" s="298">
        <f t="shared" ref="B21:N21" si="1">SUM(B4:B20)</f>
        <v>16768</v>
      </c>
      <c r="C21" s="298">
        <f t="shared" si="1"/>
        <v>3827</v>
      </c>
      <c r="D21" s="298">
        <f t="shared" si="1"/>
        <v>2602</v>
      </c>
      <c r="E21" s="298">
        <f t="shared" si="1"/>
        <v>0</v>
      </c>
      <c r="F21" s="298">
        <f t="shared" si="1"/>
        <v>2816.93</v>
      </c>
      <c r="G21" s="298">
        <f t="shared" si="1"/>
        <v>38673.279999999999</v>
      </c>
      <c r="H21" s="298">
        <f t="shared" si="1"/>
        <v>53993.8</v>
      </c>
      <c r="I21" s="298">
        <f t="shared" si="1"/>
        <v>5208</v>
      </c>
      <c r="J21" s="298">
        <f t="shared" si="1"/>
        <v>16805.32</v>
      </c>
      <c r="K21" s="298">
        <f t="shared" si="1"/>
        <v>11614.95</v>
      </c>
      <c r="L21" s="298">
        <f t="shared" si="1"/>
        <v>13892.68</v>
      </c>
      <c r="M21" s="298">
        <f t="shared" si="1"/>
        <v>0</v>
      </c>
      <c r="N21" s="298">
        <f t="shared" si="1"/>
        <v>166201.96</v>
      </c>
    </row>
    <row r="23" spans="1:14">
      <c r="N23" s="315">
        <f>SUM(B21:M21)-N21</f>
        <v>0</v>
      </c>
    </row>
  </sheetData>
  <phoneticPr fontId="31" type="noConversion"/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499984740745262"/>
    <pageSetUpPr fitToPage="1"/>
  </sheetPr>
  <dimension ref="A1:N8"/>
  <sheetViews>
    <sheetView workbookViewId="0">
      <selection activeCell="A15" sqref="A15"/>
    </sheetView>
  </sheetViews>
  <sheetFormatPr defaultRowHeight="15"/>
  <cols>
    <col min="1" max="1" width="33.140625" bestFit="1" customWidth="1"/>
    <col min="3" max="3" width="8" customWidth="1"/>
    <col min="4" max="4" width="8.28515625" customWidth="1"/>
    <col min="5" max="5" width="8" customWidth="1"/>
    <col min="6" max="6" width="8.28515625" customWidth="1"/>
    <col min="7" max="7" width="8" customWidth="1"/>
  </cols>
  <sheetData>
    <row r="1" spans="1:14">
      <c r="A1" s="20" t="s">
        <v>43</v>
      </c>
      <c r="B1" s="2"/>
      <c r="C1" s="2"/>
      <c r="D1" s="2"/>
      <c r="E1" s="2"/>
      <c r="F1" s="4" t="s">
        <v>133</v>
      </c>
      <c r="G1" s="4"/>
      <c r="H1" s="2"/>
      <c r="I1" s="2"/>
      <c r="J1" s="2"/>
      <c r="K1" s="2"/>
      <c r="L1" s="2"/>
      <c r="M1" s="2"/>
      <c r="N1" s="1"/>
    </row>
    <row r="2" spans="1:14">
      <c r="A2" s="1"/>
      <c r="B2" s="13" t="s">
        <v>1</v>
      </c>
      <c r="C2" s="13" t="s">
        <v>2</v>
      </c>
      <c r="D2" s="13" t="s">
        <v>3</v>
      </c>
      <c r="E2" s="10" t="s">
        <v>4</v>
      </c>
      <c r="F2" s="13" t="s">
        <v>5</v>
      </c>
      <c r="G2" s="10" t="s">
        <v>6</v>
      </c>
      <c r="H2" s="13" t="s">
        <v>7</v>
      </c>
      <c r="I2" s="10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/>
    </row>
    <row r="3" spans="1:14">
      <c r="A3" s="2"/>
      <c r="B3" s="9"/>
      <c r="C3" s="9"/>
      <c r="D3" s="9"/>
      <c r="E3" s="11"/>
      <c r="F3" s="9"/>
      <c r="G3" s="11"/>
      <c r="H3" s="9"/>
      <c r="I3" s="11"/>
      <c r="J3" s="9"/>
      <c r="K3" s="9"/>
      <c r="L3" s="9"/>
      <c r="M3" s="9"/>
      <c r="N3" s="9"/>
    </row>
    <row r="4" spans="1:14">
      <c r="A4" s="1" t="s">
        <v>331</v>
      </c>
      <c r="B4" s="14"/>
      <c r="C4" s="14"/>
      <c r="D4" s="14"/>
      <c r="E4" s="12"/>
      <c r="F4" s="14"/>
      <c r="G4" s="12"/>
      <c r="H4" s="14"/>
      <c r="I4" s="12"/>
      <c r="J4" s="229">
        <v>323085</v>
      </c>
      <c r="K4" s="14"/>
      <c r="L4" s="16"/>
      <c r="M4" s="229">
        <f>43911.57+7221.45</f>
        <v>51133.02</v>
      </c>
      <c r="N4" s="9">
        <f>SUM(B4:M4)</f>
        <v>374218.02</v>
      </c>
    </row>
    <row r="5" spans="1:14">
      <c r="A5" s="2" t="s">
        <v>43</v>
      </c>
      <c r="B5" s="228">
        <v>119463</v>
      </c>
      <c r="C5" s="228">
        <v>99476</v>
      </c>
      <c r="D5" s="228">
        <v>149510</v>
      </c>
      <c r="E5" s="274">
        <v>148000</v>
      </c>
      <c r="F5" s="228">
        <v>130757</v>
      </c>
      <c r="G5" s="274">
        <v>248946.88</v>
      </c>
      <c r="H5" s="228">
        <v>222828</v>
      </c>
      <c r="I5" s="228">
        <v>224960</v>
      </c>
      <c r="J5" s="228">
        <v>233378</v>
      </c>
      <c r="K5" s="228">
        <v>181101.7</v>
      </c>
      <c r="L5" s="228">
        <v>165616.20000000001</v>
      </c>
      <c r="M5" s="8">
        <v>150000</v>
      </c>
      <c r="N5" s="9">
        <f>SUM(B5:M5)</f>
        <v>2074036.7799999998</v>
      </c>
    </row>
    <row r="6" spans="1:14">
      <c r="A6" s="4" t="s">
        <v>18</v>
      </c>
      <c r="B6" s="292">
        <f t="shared" ref="B6:N6" si="0">SUM(B4:B5)</f>
        <v>119463</v>
      </c>
      <c r="C6" s="292">
        <f t="shared" si="0"/>
        <v>99476</v>
      </c>
      <c r="D6" s="292">
        <f t="shared" si="0"/>
        <v>149510</v>
      </c>
      <c r="E6" s="292">
        <f t="shared" si="0"/>
        <v>148000</v>
      </c>
      <c r="F6" s="292">
        <f t="shared" si="0"/>
        <v>130757</v>
      </c>
      <c r="G6" s="292">
        <f t="shared" si="0"/>
        <v>248946.88</v>
      </c>
      <c r="H6" s="292">
        <f t="shared" si="0"/>
        <v>222828</v>
      </c>
      <c r="I6" s="292">
        <f t="shared" si="0"/>
        <v>224960</v>
      </c>
      <c r="J6" s="292">
        <f t="shared" si="0"/>
        <v>556463</v>
      </c>
      <c r="K6" s="292">
        <f t="shared" si="0"/>
        <v>181101.7</v>
      </c>
      <c r="L6" s="292">
        <f t="shared" si="0"/>
        <v>165616.20000000001</v>
      </c>
      <c r="M6" s="292">
        <f t="shared" si="0"/>
        <v>201133.02</v>
      </c>
      <c r="N6" s="292">
        <f t="shared" si="0"/>
        <v>2448254.7999999998</v>
      </c>
    </row>
    <row r="8" spans="1:14">
      <c r="N8" s="315">
        <f>SUM(B6:M6)-N6</f>
        <v>0</v>
      </c>
    </row>
  </sheetData>
  <phoneticPr fontId="31" type="noConversion"/>
  <pageMargins left="0.25" right="0.25" top="0.75" bottom="0.75" header="0.3" footer="0.3"/>
  <pageSetup paperSize="9" scale="9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workbookViewId="0">
      <selection activeCell="E9" sqref="E9"/>
    </sheetView>
  </sheetViews>
  <sheetFormatPr defaultRowHeight="15"/>
  <cols>
    <col min="1" max="1" width="21.140625" customWidth="1"/>
    <col min="2" max="2" width="11" customWidth="1"/>
    <col min="3" max="3" width="9.42578125" customWidth="1"/>
    <col min="4" max="4" width="9.5703125" customWidth="1"/>
    <col min="7" max="7" width="10.5703125" customWidth="1"/>
    <col min="8" max="9" width="8" customWidth="1"/>
  </cols>
  <sheetData>
    <row r="1" spans="1:14">
      <c r="A1" s="20" t="s">
        <v>44</v>
      </c>
      <c r="B1" s="2"/>
      <c r="C1" s="2"/>
      <c r="D1" s="2"/>
      <c r="E1" s="2"/>
      <c r="F1" s="4" t="s">
        <v>133</v>
      </c>
      <c r="G1" s="4"/>
      <c r="H1" s="2"/>
      <c r="I1" s="2"/>
      <c r="J1" s="2"/>
      <c r="K1" s="2"/>
      <c r="L1" s="2"/>
      <c r="M1" s="2"/>
      <c r="N1" s="1"/>
    </row>
    <row r="2" spans="1:14">
      <c r="A2" s="1"/>
      <c r="B2" s="27" t="s">
        <v>1</v>
      </c>
      <c r="C2" s="27" t="s">
        <v>2</v>
      </c>
      <c r="D2" s="27" t="s">
        <v>3</v>
      </c>
      <c r="E2" s="28" t="s">
        <v>4</v>
      </c>
      <c r="F2" s="27" t="s">
        <v>5</v>
      </c>
      <c r="G2" s="28" t="s">
        <v>6</v>
      </c>
      <c r="H2" s="27" t="s">
        <v>7</v>
      </c>
      <c r="I2" s="28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 t="s">
        <v>18</v>
      </c>
    </row>
    <row r="3" spans="1:14">
      <c r="A3" s="2"/>
      <c r="B3" s="35"/>
      <c r="C3" s="35"/>
      <c r="D3" s="35"/>
      <c r="E3" s="34"/>
      <c r="F3" s="35"/>
      <c r="G3" s="34"/>
      <c r="H3" s="35"/>
      <c r="I3" s="34"/>
      <c r="J3" s="35"/>
      <c r="K3" s="35"/>
      <c r="L3" s="35"/>
      <c r="M3" s="35"/>
      <c r="N3" s="35"/>
    </row>
    <row r="4" spans="1:14">
      <c r="A4" s="1" t="s">
        <v>45</v>
      </c>
      <c r="B4" s="14"/>
      <c r="C4" s="14"/>
      <c r="D4" s="14"/>
      <c r="E4" s="12"/>
      <c r="F4" s="14"/>
      <c r="G4" s="12"/>
      <c r="H4" s="14"/>
      <c r="I4" s="12"/>
      <c r="J4" s="14"/>
      <c r="K4" s="14"/>
      <c r="L4" s="16"/>
      <c r="M4" s="16"/>
      <c r="N4" s="14"/>
    </row>
    <row r="5" spans="1:14">
      <c r="A5" s="2" t="s">
        <v>65</v>
      </c>
      <c r="B5" s="100"/>
      <c r="C5" s="234"/>
      <c r="D5" s="100"/>
      <c r="E5" s="114"/>
      <c r="F5" s="100"/>
      <c r="G5" s="196"/>
      <c r="H5" s="100"/>
      <c r="I5" s="11"/>
      <c r="J5" s="9"/>
      <c r="K5" s="9"/>
      <c r="L5" s="8"/>
      <c r="M5" s="8"/>
      <c r="N5" s="9">
        <f>SUM(B5:M5)</f>
        <v>0</v>
      </c>
    </row>
    <row r="6" spans="1:14">
      <c r="A6" s="1" t="s">
        <v>46</v>
      </c>
      <c r="B6" s="14"/>
      <c r="C6" s="14"/>
      <c r="D6" s="14"/>
      <c r="E6" s="12"/>
      <c r="F6" s="14"/>
      <c r="G6" s="12"/>
      <c r="H6" s="14"/>
      <c r="I6" s="12"/>
      <c r="J6" s="14"/>
      <c r="K6" s="14"/>
      <c r="L6" s="16"/>
      <c r="M6" s="16"/>
      <c r="N6" s="14"/>
    </row>
    <row r="7" spans="1:14">
      <c r="A7" s="2" t="s">
        <v>47</v>
      </c>
      <c r="B7" s="9"/>
      <c r="C7" s="9"/>
      <c r="D7" s="9"/>
      <c r="E7" s="11"/>
      <c r="F7" s="9"/>
      <c r="G7" s="11"/>
      <c r="H7" s="9"/>
      <c r="I7" s="11"/>
      <c r="J7" s="9"/>
      <c r="K7" s="9"/>
      <c r="L7" s="8"/>
      <c r="M7" s="8"/>
      <c r="N7" s="9"/>
    </row>
    <row r="8" spans="1:14">
      <c r="A8" s="1"/>
      <c r="B8" s="14"/>
      <c r="C8" s="14"/>
      <c r="D8" s="14"/>
      <c r="E8" s="14"/>
      <c r="F8" s="14"/>
      <c r="G8" s="12"/>
      <c r="H8" s="14"/>
      <c r="I8" s="12"/>
      <c r="J8" s="14"/>
      <c r="K8" s="14"/>
      <c r="L8" s="16"/>
      <c r="M8" s="16"/>
      <c r="N8" s="14"/>
    </row>
    <row r="9" spans="1:14">
      <c r="A9" s="4" t="s">
        <v>18</v>
      </c>
      <c r="B9" s="292">
        <f t="shared" ref="B9:N9" si="0">SUM(B5:B8)</f>
        <v>0</v>
      </c>
      <c r="C9" s="292">
        <f t="shared" si="0"/>
        <v>0</v>
      </c>
      <c r="D9" s="292">
        <f t="shared" si="0"/>
        <v>0</v>
      </c>
      <c r="E9" s="292">
        <f t="shared" si="0"/>
        <v>0</v>
      </c>
      <c r="F9" s="292">
        <f t="shared" si="0"/>
        <v>0</v>
      </c>
      <c r="G9" s="292">
        <f t="shared" si="0"/>
        <v>0</v>
      </c>
      <c r="H9" s="292">
        <f t="shared" si="0"/>
        <v>0</v>
      </c>
      <c r="I9" s="292">
        <f t="shared" si="0"/>
        <v>0</v>
      </c>
      <c r="J9" s="292">
        <f t="shared" si="0"/>
        <v>0</v>
      </c>
      <c r="K9" s="292">
        <f t="shared" si="0"/>
        <v>0</v>
      </c>
      <c r="L9" s="292">
        <f t="shared" si="0"/>
        <v>0</v>
      </c>
      <c r="M9" s="292">
        <f t="shared" si="0"/>
        <v>0</v>
      </c>
      <c r="N9" s="292">
        <f t="shared" si="0"/>
        <v>0</v>
      </c>
    </row>
    <row r="11" spans="1:14">
      <c r="N11" s="315">
        <f>SUM(B9:M9)-N9</f>
        <v>0</v>
      </c>
    </row>
  </sheetData>
  <phoneticPr fontId="31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X50"/>
  <sheetViews>
    <sheetView zoomScale="90" zoomScaleNormal="90" workbookViewId="0">
      <selection activeCell="Z20" sqref="Z20"/>
    </sheetView>
  </sheetViews>
  <sheetFormatPr defaultRowHeight="15"/>
  <cols>
    <col min="4" max="4" width="9.85546875" bestFit="1" customWidth="1"/>
    <col min="5" max="5" width="3.28515625" customWidth="1"/>
    <col min="6" max="6" width="12" style="36" customWidth="1"/>
    <col min="7" max="7" width="10.85546875" style="36" customWidth="1"/>
    <col min="8" max="8" width="0.28515625" customWidth="1"/>
    <col min="9" max="9" width="10.42578125" style="36" customWidth="1"/>
    <col min="10" max="11" width="10.85546875" style="36" customWidth="1"/>
    <col min="12" max="13" width="11.28515625" bestFit="1" customWidth="1"/>
    <col min="14" max="14" width="10" customWidth="1"/>
    <col min="15" max="15" width="10.140625" bestFit="1" customWidth="1"/>
    <col min="16" max="16" width="10.85546875" customWidth="1"/>
    <col min="17" max="19" width="10.140625" bestFit="1" customWidth="1"/>
    <col min="20" max="20" width="12.85546875" customWidth="1"/>
    <col min="21" max="21" width="11.28515625" style="36" customWidth="1"/>
    <col min="22" max="22" width="13.42578125" style="36" bestFit="1" customWidth="1"/>
    <col min="23" max="23" width="16.140625" style="36" customWidth="1"/>
  </cols>
  <sheetData>
    <row r="1" spans="1:23" ht="6" customHeight="1">
      <c r="A1" s="180"/>
      <c r="B1" s="180"/>
      <c r="C1" s="180"/>
      <c r="D1" s="180"/>
      <c r="E1" s="180"/>
      <c r="F1" s="181"/>
      <c r="G1" s="181"/>
      <c r="H1" s="180"/>
      <c r="I1" s="181"/>
      <c r="J1" s="181"/>
      <c r="K1" s="181"/>
      <c r="L1" s="180"/>
      <c r="M1" s="180"/>
      <c r="N1" s="180"/>
      <c r="O1" s="180"/>
      <c r="P1" s="180"/>
      <c r="Q1" s="180"/>
      <c r="R1" s="180"/>
      <c r="S1" s="180"/>
      <c r="T1" s="180"/>
      <c r="U1" s="181"/>
    </row>
    <row r="2" spans="1:23" ht="21" customHeight="1">
      <c r="A2" s="360" t="s">
        <v>317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179"/>
      <c r="R2" s="179"/>
      <c r="S2" s="179"/>
      <c r="T2" s="179"/>
      <c r="U2" s="179"/>
      <c r="V2" s="36">
        <v>12</v>
      </c>
    </row>
    <row r="3" spans="1:23" ht="45" customHeight="1">
      <c r="A3" s="357" t="s">
        <v>97</v>
      </c>
      <c r="B3" s="358"/>
      <c r="C3" s="358"/>
      <c r="D3" s="358"/>
      <c r="E3" s="359"/>
      <c r="F3" s="340" t="s">
        <v>117</v>
      </c>
      <c r="G3" s="340" t="s">
        <v>128</v>
      </c>
      <c r="H3" s="325" t="s">
        <v>67</v>
      </c>
      <c r="I3" s="338" t="s">
        <v>1</v>
      </c>
      <c r="J3" s="338" t="s">
        <v>2</v>
      </c>
      <c r="K3" s="338" t="s">
        <v>3</v>
      </c>
      <c r="L3" s="338" t="s">
        <v>4</v>
      </c>
      <c r="M3" s="182" t="s">
        <v>5</v>
      </c>
      <c r="N3" s="182" t="s">
        <v>6</v>
      </c>
      <c r="O3" s="198" t="s">
        <v>7</v>
      </c>
      <c r="P3" s="198" t="s">
        <v>8</v>
      </c>
      <c r="Q3" s="198" t="s">
        <v>9</v>
      </c>
      <c r="R3" s="198" t="s">
        <v>10</v>
      </c>
      <c r="S3" s="198" t="s">
        <v>11</v>
      </c>
      <c r="T3" s="198" t="s">
        <v>332</v>
      </c>
      <c r="U3" s="340" t="s">
        <v>334</v>
      </c>
      <c r="V3" s="340" t="s">
        <v>318</v>
      </c>
      <c r="W3" s="350" t="s">
        <v>108</v>
      </c>
    </row>
    <row r="4" spans="1:23" ht="0.75" customHeight="1">
      <c r="A4" s="52"/>
      <c r="B4" s="53"/>
      <c r="C4" s="53"/>
      <c r="D4" s="53"/>
      <c r="E4" s="53"/>
      <c r="F4" s="341"/>
      <c r="G4" s="341"/>
      <c r="H4" s="54" t="s">
        <v>88</v>
      </c>
      <c r="I4" s="339"/>
      <c r="J4" s="339"/>
      <c r="K4" s="339"/>
      <c r="L4" s="339"/>
      <c r="M4" s="187" t="s">
        <v>5</v>
      </c>
      <c r="N4" s="187" t="s">
        <v>6</v>
      </c>
      <c r="O4" s="94" t="s">
        <v>7</v>
      </c>
      <c r="P4" s="94" t="s">
        <v>8</v>
      </c>
      <c r="Q4" s="94" t="s">
        <v>9</v>
      </c>
      <c r="R4" s="94" t="s">
        <v>10</v>
      </c>
      <c r="S4" s="94" t="s">
        <v>11</v>
      </c>
      <c r="T4" s="95" t="s">
        <v>12</v>
      </c>
      <c r="U4" s="341"/>
      <c r="V4" s="349"/>
      <c r="W4" s="351"/>
    </row>
    <row r="5" spans="1:23" ht="15.75">
      <c r="A5" s="121" t="s">
        <v>113</v>
      </c>
      <c r="B5" s="122"/>
      <c r="C5" s="122"/>
      <c r="D5" s="122"/>
      <c r="E5" s="122"/>
      <c r="F5" s="126">
        <v>29065680</v>
      </c>
      <c r="G5" s="127">
        <f>F5/12</f>
        <v>2422140</v>
      </c>
      <c r="H5" s="128"/>
      <c r="I5" s="129">
        <v>2452160</v>
      </c>
      <c r="J5" s="129">
        <v>2304430</v>
      </c>
      <c r="K5" s="129">
        <v>3021026</v>
      </c>
      <c r="L5" s="128">
        <v>2244029</v>
      </c>
      <c r="M5" s="245">
        <v>2787065</v>
      </c>
      <c r="N5" s="192">
        <v>1660629</v>
      </c>
      <c r="O5" s="129">
        <v>2071730</v>
      </c>
      <c r="P5" s="129">
        <v>2079202</v>
      </c>
      <c r="Q5" s="129">
        <v>2305545</v>
      </c>
      <c r="R5" s="129">
        <v>2880132</v>
      </c>
      <c r="S5" s="129">
        <v>2712568</v>
      </c>
      <c r="T5" s="129">
        <v>2200000</v>
      </c>
      <c r="U5" s="132">
        <f t="shared" ref="U5:U11" si="0">SUM(I5:T5)</f>
        <v>28718516</v>
      </c>
      <c r="V5" s="133">
        <f>G5*V2</f>
        <v>29065680</v>
      </c>
      <c r="W5" s="165">
        <f>U5-V5</f>
        <v>-347164</v>
      </c>
    </row>
    <row r="6" spans="1:23" ht="15.75">
      <c r="A6" s="121" t="s">
        <v>112</v>
      </c>
      <c r="B6" s="122"/>
      <c r="C6" s="122"/>
      <c r="D6" s="122"/>
      <c r="E6" s="122"/>
      <c r="F6" s="134"/>
      <c r="G6" s="134"/>
      <c r="H6" s="135"/>
      <c r="I6" s="134"/>
      <c r="J6" s="134"/>
      <c r="K6" s="134"/>
      <c r="L6" s="135"/>
      <c r="M6" s="189"/>
      <c r="N6" s="189"/>
      <c r="O6" s="135"/>
      <c r="P6" s="135"/>
      <c r="Q6" s="135"/>
      <c r="R6" s="135"/>
      <c r="S6" s="135"/>
      <c r="T6" s="135"/>
      <c r="U6" s="132">
        <f t="shared" si="0"/>
        <v>0</v>
      </c>
      <c r="V6" s="133"/>
      <c r="W6" s="166"/>
    </row>
    <row r="7" spans="1:23" ht="15.75">
      <c r="A7" s="121" t="s">
        <v>111</v>
      </c>
      <c r="B7" s="122"/>
      <c r="C7" s="122"/>
      <c r="D7" s="122"/>
      <c r="E7" s="122"/>
      <c r="F7" s="126">
        <v>300000</v>
      </c>
      <c r="G7" s="127">
        <f>F7/12</f>
        <v>25000</v>
      </c>
      <c r="H7" s="130"/>
      <c r="I7" s="129">
        <v>81454</v>
      </c>
      <c r="J7" s="129">
        <v>48076</v>
      </c>
      <c r="K7" s="129">
        <v>68542</v>
      </c>
      <c r="L7" s="128">
        <v>70233</v>
      </c>
      <c r="M7" s="245">
        <v>47024</v>
      </c>
      <c r="N7" s="192">
        <v>29113</v>
      </c>
      <c r="O7" s="129">
        <v>25380</v>
      </c>
      <c r="P7" s="129">
        <v>12950</v>
      </c>
      <c r="Q7" s="129">
        <v>33500</v>
      </c>
      <c r="R7" s="129">
        <v>18340</v>
      </c>
      <c r="S7" s="129">
        <v>59524.5</v>
      </c>
      <c r="T7" s="129">
        <v>37000</v>
      </c>
      <c r="U7" s="132">
        <f t="shared" si="0"/>
        <v>531136.5</v>
      </c>
      <c r="V7" s="133">
        <f>G7*V2</f>
        <v>300000</v>
      </c>
      <c r="W7" s="165">
        <f>U7-V7</f>
        <v>231136.5</v>
      </c>
    </row>
    <row r="8" spans="1:23" ht="15.75">
      <c r="A8" s="121" t="s">
        <v>232</v>
      </c>
      <c r="B8" s="122"/>
      <c r="C8" s="122"/>
      <c r="D8" s="122"/>
      <c r="E8" s="122"/>
      <c r="F8" s="306"/>
      <c r="G8" s="306"/>
      <c r="H8" s="307"/>
      <c r="I8" s="308"/>
      <c r="J8" s="308"/>
      <c r="K8" s="308"/>
      <c r="L8" s="307"/>
      <c r="M8" s="309"/>
      <c r="N8" s="304"/>
      <c r="O8" s="308"/>
      <c r="P8" s="129">
        <v>60000</v>
      </c>
      <c r="Q8" s="129">
        <v>6150</v>
      </c>
      <c r="R8" s="129"/>
      <c r="S8" s="129">
        <v>6000</v>
      </c>
      <c r="T8" s="129"/>
      <c r="U8" s="132">
        <f t="shared" si="0"/>
        <v>72150</v>
      </c>
      <c r="V8" s="133"/>
      <c r="W8" s="165">
        <f>U8-V8</f>
        <v>72150</v>
      </c>
    </row>
    <row r="9" spans="1:23" ht="15.75">
      <c r="A9" s="121" t="s">
        <v>230</v>
      </c>
      <c r="B9" s="122"/>
      <c r="C9" s="122"/>
      <c r="D9" s="122"/>
      <c r="E9" s="122"/>
      <c r="F9" s="137"/>
      <c r="G9" s="137"/>
      <c r="H9" s="135"/>
      <c r="I9" s="137"/>
      <c r="J9" s="137"/>
      <c r="K9" s="137"/>
      <c r="L9" s="130"/>
      <c r="M9" s="304"/>
      <c r="N9" s="302">
        <v>15045</v>
      </c>
      <c r="O9" s="303">
        <v>13463</v>
      </c>
      <c r="P9" s="303">
        <v>14575</v>
      </c>
      <c r="Q9" s="303"/>
      <c r="R9" s="303">
        <v>46223</v>
      </c>
      <c r="S9" s="303">
        <v>14396.16</v>
      </c>
      <c r="T9" s="303">
        <v>10300</v>
      </c>
      <c r="U9" s="132">
        <f t="shared" si="0"/>
        <v>114002.16</v>
      </c>
      <c r="V9" s="133"/>
      <c r="W9" s="165">
        <f>U9-V9</f>
        <v>114002.16</v>
      </c>
    </row>
    <row r="10" spans="1:23" ht="16.5" thickBot="1">
      <c r="A10" s="123" t="s">
        <v>110</v>
      </c>
      <c r="B10" s="124"/>
      <c r="C10" s="125"/>
      <c r="D10" s="125"/>
      <c r="E10" s="125"/>
      <c r="F10" s="145">
        <v>559800</v>
      </c>
      <c r="G10" s="155">
        <f>F10/12</f>
        <v>46650</v>
      </c>
      <c r="H10" s="139"/>
      <c r="I10" s="140">
        <v>37740</v>
      </c>
      <c r="J10" s="140">
        <v>85370</v>
      </c>
      <c r="K10" s="140">
        <v>65240</v>
      </c>
      <c r="L10" s="142">
        <v>59911</v>
      </c>
      <c r="M10" s="193">
        <f>4500+111675</f>
        <v>116175</v>
      </c>
      <c r="N10" s="193">
        <v>30045</v>
      </c>
      <c r="O10" s="141">
        <f>50000+45089.62</f>
        <v>95089.62</v>
      </c>
      <c r="P10" s="141">
        <v>52457</v>
      </c>
      <c r="Q10" s="141">
        <v>36896</v>
      </c>
      <c r="R10" s="141">
        <v>65774.789999999994</v>
      </c>
      <c r="S10" s="141">
        <v>84344.08</v>
      </c>
      <c r="T10" s="141">
        <v>25000</v>
      </c>
      <c r="U10" s="145">
        <f t="shared" si="0"/>
        <v>754042.49</v>
      </c>
      <c r="V10" s="160">
        <f>G10*V2</f>
        <v>559800</v>
      </c>
      <c r="W10" s="168">
        <f>U10-V10</f>
        <v>194242.49</v>
      </c>
    </row>
    <row r="11" spans="1:23" ht="15.75">
      <c r="A11" s="352" t="s">
        <v>98</v>
      </c>
      <c r="B11" s="353"/>
      <c r="C11" s="353"/>
      <c r="D11" s="353"/>
      <c r="E11" s="354"/>
      <c r="F11" s="118">
        <f t="shared" ref="F11:R11" si="1">SUM(F5:F10)</f>
        <v>29925480</v>
      </c>
      <c r="G11" s="119">
        <f t="shared" si="1"/>
        <v>2493790</v>
      </c>
      <c r="H11" s="96">
        <f>SUM(H5:H10)</f>
        <v>0</v>
      </c>
      <c r="I11" s="116">
        <f t="shared" si="1"/>
        <v>2571354</v>
      </c>
      <c r="J11" s="116">
        <f t="shared" si="1"/>
        <v>2437876</v>
      </c>
      <c r="K11" s="116">
        <f t="shared" si="1"/>
        <v>3154808</v>
      </c>
      <c r="L11" s="116">
        <f t="shared" si="1"/>
        <v>2374173</v>
      </c>
      <c r="M11" s="116">
        <f t="shared" si="1"/>
        <v>2950264</v>
      </c>
      <c r="N11" s="116">
        <f t="shared" si="1"/>
        <v>1734832</v>
      </c>
      <c r="O11" s="116">
        <f t="shared" si="1"/>
        <v>2205662.62</v>
      </c>
      <c r="P11" s="116">
        <f t="shared" si="1"/>
        <v>2219184</v>
      </c>
      <c r="Q11" s="116">
        <f t="shared" si="1"/>
        <v>2382091</v>
      </c>
      <c r="R11" s="116">
        <f t="shared" si="1"/>
        <v>3010469.79</v>
      </c>
      <c r="S11" s="116">
        <f>SUM(S5:S10)</f>
        <v>2876832.74</v>
      </c>
      <c r="T11" s="116">
        <f>SUM(T5:T10)</f>
        <v>2272300</v>
      </c>
      <c r="U11" s="148">
        <f t="shared" si="0"/>
        <v>30189847.149999999</v>
      </c>
      <c r="V11" s="133">
        <f>SUM(V5:V10)</f>
        <v>29925480</v>
      </c>
      <c r="W11" s="169">
        <f>U11-V11</f>
        <v>264367.14999999851</v>
      </c>
    </row>
    <row r="12" spans="1:23" ht="33" customHeight="1">
      <c r="A12" s="355" t="s">
        <v>96</v>
      </c>
      <c r="B12" s="356"/>
      <c r="C12" s="356"/>
      <c r="D12" s="356"/>
      <c r="E12" s="356"/>
      <c r="F12" s="149"/>
      <c r="G12" s="149"/>
      <c r="H12" s="89"/>
      <c r="I12" s="149"/>
      <c r="J12" s="149"/>
      <c r="K12" s="149"/>
      <c r="L12" s="89"/>
      <c r="M12" s="190"/>
      <c r="N12" s="190"/>
      <c r="O12" s="89"/>
      <c r="P12" s="89"/>
      <c r="Q12" s="89"/>
      <c r="R12" s="89"/>
      <c r="S12" s="89"/>
      <c r="T12" s="89"/>
      <c r="U12" s="161"/>
      <c r="V12" s="151"/>
      <c r="W12" s="162" t="s">
        <v>109</v>
      </c>
    </row>
    <row r="13" spans="1:23" ht="15.75">
      <c r="A13" s="71" t="s">
        <v>0</v>
      </c>
      <c r="B13" s="58"/>
      <c r="C13" s="58"/>
      <c r="D13" s="58"/>
      <c r="E13" s="58"/>
      <c r="F13" s="126">
        <v>700000</v>
      </c>
      <c r="G13" s="127">
        <f>F13/12</f>
        <v>58333.333333333336</v>
      </c>
      <c r="H13" s="135"/>
      <c r="I13" s="152">
        <f ca="1">'общехоз расходы'!B55</f>
        <v>34862</v>
      </c>
      <c r="J13" s="152">
        <f ca="1">'общехоз расходы'!C55</f>
        <v>44617</v>
      </c>
      <c r="K13" s="152">
        <f ca="1">'общехоз расходы'!D55</f>
        <v>41772</v>
      </c>
      <c r="L13" s="152">
        <f ca="1">'общехоз расходы'!E55</f>
        <v>37210.130000000005</v>
      </c>
      <c r="M13" s="152">
        <f ca="1">'общехоз расходы'!F55</f>
        <v>104346.89000000001</v>
      </c>
      <c r="N13" s="152">
        <f ca="1">'общехоз расходы'!G55</f>
        <v>105524.4</v>
      </c>
      <c r="O13" s="152">
        <f ca="1">'общехоз расходы'!H55</f>
        <v>39955.599999999999</v>
      </c>
      <c r="P13" s="152">
        <f ca="1">'общехоз расходы'!I55</f>
        <v>26915.58</v>
      </c>
      <c r="Q13" s="152">
        <f ca="1">'общехоз расходы'!J55</f>
        <v>67684.260000000009</v>
      </c>
      <c r="R13" s="152">
        <f ca="1">'общехоз расходы'!K55</f>
        <v>30718.3</v>
      </c>
      <c r="S13" s="152">
        <f ca="1">'общехоз расходы'!L55</f>
        <v>85823.15</v>
      </c>
      <c r="T13" s="152">
        <f ca="1">'общехоз расходы'!M55</f>
        <v>20500</v>
      </c>
      <c r="U13" s="132">
        <f t="shared" ref="U13:U32" si="2">SUM(I13:T13)</f>
        <v>639929.31000000006</v>
      </c>
      <c r="V13" s="133">
        <f>G13*$V$2</f>
        <v>700000</v>
      </c>
      <c r="W13" s="163">
        <f>V13-U13</f>
        <v>60070.689999999944</v>
      </c>
    </row>
    <row r="14" spans="1:23" ht="15.75">
      <c r="A14" s="75" t="s">
        <v>19</v>
      </c>
      <c r="B14" s="53"/>
      <c r="C14" s="53"/>
      <c r="D14" s="53"/>
      <c r="E14" s="53"/>
      <c r="F14" s="118">
        <v>150000</v>
      </c>
      <c r="G14" s="127">
        <f t="shared" ref="G14:G32" si="3">F14/12</f>
        <v>12500</v>
      </c>
      <c r="H14" s="98"/>
      <c r="I14" s="153">
        <f ca="1">'программ обеспечение'!B17</f>
        <v>15390</v>
      </c>
      <c r="J14" s="153">
        <f ca="1">'программ обеспечение'!C17</f>
        <v>8290</v>
      </c>
      <c r="K14" s="153">
        <f ca="1">'программ обеспечение'!D17</f>
        <v>11724</v>
      </c>
      <c r="L14" s="153">
        <f ca="1">'программ обеспечение'!E17</f>
        <v>7234.38</v>
      </c>
      <c r="M14" s="153">
        <f ca="1">'программ обеспечение'!F17</f>
        <v>32200</v>
      </c>
      <c r="N14" s="153">
        <f ca="1">'программ обеспечение'!G17</f>
        <v>3000</v>
      </c>
      <c r="O14" s="152">
        <f ca="1">'программ обеспечение'!H17</f>
        <v>890</v>
      </c>
      <c r="P14" s="152">
        <f ca="1">'программ обеспечение'!I17</f>
        <v>0</v>
      </c>
      <c r="Q14" s="152">
        <f ca="1">'программ обеспечение'!J17</f>
        <v>3650</v>
      </c>
      <c r="R14" s="152">
        <f ca="1">'программ обеспечение'!K17</f>
        <v>10000</v>
      </c>
      <c r="S14" s="152">
        <f ca="1">'программ обеспечение'!L17</f>
        <v>0</v>
      </c>
      <c r="T14" s="152">
        <f ca="1">'программ обеспечение'!M17</f>
        <v>0</v>
      </c>
      <c r="U14" s="132">
        <f t="shared" si="2"/>
        <v>92378.38</v>
      </c>
      <c r="V14" s="133">
        <f t="shared" ref="V14:V29" si="4">G14*$V$2</f>
        <v>150000</v>
      </c>
      <c r="W14" s="163">
        <f t="shared" ref="W14:W27" si="5">V14-U14</f>
        <v>57621.619999999995</v>
      </c>
    </row>
    <row r="15" spans="1:23" ht="15.75">
      <c r="A15" s="71" t="s">
        <v>22</v>
      </c>
      <c r="B15" s="58"/>
      <c r="C15" s="58"/>
      <c r="D15" s="58"/>
      <c r="E15" s="81"/>
      <c r="F15" s="126">
        <v>100000</v>
      </c>
      <c r="G15" s="127">
        <f t="shared" si="3"/>
        <v>8333.3333333333339</v>
      </c>
      <c r="H15" s="135"/>
      <c r="I15" s="152">
        <f ca="1">'услуги связи'!B8</f>
        <v>8235</v>
      </c>
      <c r="J15" s="152">
        <f ca="1">'услуги связи'!C8</f>
        <v>8432</v>
      </c>
      <c r="K15" s="152">
        <f ca="1">'услуги связи'!D8</f>
        <v>8166</v>
      </c>
      <c r="L15" s="152">
        <f ca="1">'услуги связи'!E8</f>
        <v>6500</v>
      </c>
      <c r="M15" s="152">
        <f ca="1">'услуги связи'!F8</f>
        <v>6500</v>
      </c>
      <c r="N15" s="152">
        <f ca="1">'услуги связи'!G8</f>
        <v>7000</v>
      </c>
      <c r="O15" s="152">
        <f ca="1">'услуги связи'!H8</f>
        <v>14000</v>
      </c>
      <c r="P15" s="152">
        <f ca="1">'услуги связи'!I8</f>
        <v>7000</v>
      </c>
      <c r="Q15" s="152">
        <f ca="1">'услуги связи'!J8</f>
        <v>8000</v>
      </c>
      <c r="R15" s="152">
        <f ca="1">'услуги связи'!K8</f>
        <v>8000</v>
      </c>
      <c r="S15" s="152">
        <f ca="1">'услуги связи'!L8</f>
        <v>8000</v>
      </c>
      <c r="T15" s="152">
        <f ca="1">'услуги связи'!M8</f>
        <v>8000</v>
      </c>
      <c r="U15" s="132">
        <f t="shared" si="2"/>
        <v>97833</v>
      </c>
      <c r="V15" s="133">
        <f t="shared" si="4"/>
        <v>100000</v>
      </c>
      <c r="W15" s="163">
        <f t="shared" si="5"/>
        <v>2167</v>
      </c>
    </row>
    <row r="16" spans="1:23" ht="15.75">
      <c r="A16" s="75" t="s">
        <v>129</v>
      </c>
      <c r="B16" s="53"/>
      <c r="C16" s="53"/>
      <c r="D16" s="53"/>
      <c r="E16" s="82"/>
      <c r="F16" s="118">
        <v>7500000</v>
      </c>
      <c r="G16" s="127">
        <f t="shared" si="3"/>
        <v>625000</v>
      </c>
      <c r="H16" s="98"/>
      <c r="I16" s="153">
        <f ca="1">'з пл'!B6</f>
        <v>629289</v>
      </c>
      <c r="J16" s="153">
        <f ca="1">'з пл'!C6</f>
        <v>690168</v>
      </c>
      <c r="K16" s="153">
        <f ca="1">'з пл'!D6</f>
        <v>537675</v>
      </c>
      <c r="L16" s="153">
        <f ca="1">'з пл'!E6</f>
        <v>515932.4</v>
      </c>
      <c r="M16" s="246">
        <f ca="1">'з пл'!F6</f>
        <v>559403.41</v>
      </c>
      <c r="N16" s="153">
        <f ca="1">'з пл'!G6</f>
        <v>564857.06000000006</v>
      </c>
      <c r="O16" s="152">
        <f ca="1">'з пл'!H6</f>
        <v>531386.9</v>
      </c>
      <c r="P16" s="152">
        <f ca="1">'з пл'!I6</f>
        <v>758877</v>
      </c>
      <c r="Q16" s="152">
        <f ca="1">'з пл'!J6</f>
        <v>564647</v>
      </c>
      <c r="R16" s="152">
        <f ca="1">'з пл'!K6</f>
        <v>612729.28</v>
      </c>
      <c r="S16" s="152">
        <f ca="1">'з пл'!L6</f>
        <v>540914.83000000007</v>
      </c>
      <c r="T16" s="152">
        <f ca="1">'з пл'!M6</f>
        <v>560000</v>
      </c>
      <c r="U16" s="132">
        <f>SUM(I16:T16)</f>
        <v>7065879.8799999999</v>
      </c>
      <c r="V16" s="133">
        <f t="shared" si="4"/>
        <v>7500000</v>
      </c>
      <c r="W16" s="163">
        <f t="shared" si="5"/>
        <v>434120.12000000011</v>
      </c>
    </row>
    <row r="17" spans="1:24" ht="15.75">
      <c r="A17" s="75" t="s">
        <v>25</v>
      </c>
      <c r="B17" s="53"/>
      <c r="C17" s="53"/>
      <c r="D17" s="53"/>
      <c r="E17" s="53"/>
      <c r="F17" s="118">
        <v>500000</v>
      </c>
      <c r="G17" s="127">
        <f t="shared" si="3"/>
        <v>41666.666666666664</v>
      </c>
      <c r="H17" s="98"/>
      <c r="I17" s="153">
        <f ca="1">'премиальный фонд'!B5</f>
        <v>0</v>
      </c>
      <c r="J17" s="153">
        <f ca="1">'премиальный фонд'!C5</f>
        <v>0</v>
      </c>
      <c r="K17" s="153">
        <f ca="1">'премиальный фонд'!D5</f>
        <v>58000</v>
      </c>
      <c r="L17" s="153">
        <f ca="1">'премиальный фонд'!E5</f>
        <v>0</v>
      </c>
      <c r="M17" s="246">
        <f ca="1">'премиальный фонд'!F5</f>
        <v>116152</v>
      </c>
      <c r="N17" s="153">
        <f ca="1">'премиальный фонд'!G5</f>
        <v>0</v>
      </c>
      <c r="O17" s="153">
        <f ca="1">'премиальный фонд'!H5</f>
        <v>52500</v>
      </c>
      <c r="P17" s="153">
        <f ca="1">'премиальный фонд'!I5</f>
        <v>87757.35</v>
      </c>
      <c r="Q17" s="153">
        <f ca="1">'премиальный фонд'!J5</f>
        <v>14177.63</v>
      </c>
      <c r="R17" s="153">
        <f ca="1">'премиальный фонд'!K5</f>
        <v>34825</v>
      </c>
      <c r="S17" s="152">
        <f ca="1">'премиальный фонд'!L5</f>
        <v>11595.24</v>
      </c>
      <c r="T17" s="152">
        <f ca="1">'премиальный фонд'!M5</f>
        <v>40000</v>
      </c>
      <c r="U17" s="132">
        <f t="shared" si="2"/>
        <v>415007.22</v>
      </c>
      <c r="V17" s="133">
        <f t="shared" si="4"/>
        <v>500000</v>
      </c>
      <c r="W17" s="163">
        <f t="shared" si="5"/>
        <v>84992.780000000028</v>
      </c>
    </row>
    <row r="18" spans="1:24" ht="15.75">
      <c r="A18" s="75" t="s">
        <v>26</v>
      </c>
      <c r="B18" s="53"/>
      <c r="C18" s="53"/>
      <c r="D18" s="53"/>
      <c r="E18" s="53"/>
      <c r="F18" s="118">
        <v>2416000</v>
      </c>
      <c r="G18" s="127">
        <f t="shared" si="3"/>
        <v>201333.33333333334</v>
      </c>
      <c r="H18" s="98"/>
      <c r="I18" s="153">
        <f ca="1">'налог с ФОТ'!B5</f>
        <v>210787</v>
      </c>
      <c r="J18" s="153">
        <f ca="1">'налог с ФОТ'!C5</f>
        <v>201379</v>
      </c>
      <c r="K18" s="153">
        <f ca="1">'налог с ФОТ'!D5</f>
        <v>151376</v>
      </c>
      <c r="L18" s="153">
        <f ca="1">'налог с ФОТ'!E5</f>
        <v>159447.66</v>
      </c>
      <c r="M18" s="246">
        <f ca="1">'налог с ФОТ'!F5</f>
        <v>200851.71</v>
      </c>
      <c r="N18" s="153">
        <f ca="1">'налог с ФОТ'!G5</f>
        <v>139350.85999999999</v>
      </c>
      <c r="O18" s="153">
        <f ca="1">'налог с ФОТ'!H5</f>
        <v>150306.68</v>
      </c>
      <c r="P18" s="153">
        <f ca="1">'налог с ФОТ'!I5</f>
        <v>210171</v>
      </c>
      <c r="Q18" s="153">
        <f ca="1">'налог с ФОТ'!J5</f>
        <v>162203.47</v>
      </c>
      <c r="R18" s="153">
        <f ca="1">'налог с ФОТ'!K5</f>
        <v>183299.03</v>
      </c>
      <c r="S18" s="152">
        <f ca="1">'налог с ФОТ'!L5</f>
        <v>147207.55000000002</v>
      </c>
      <c r="T18" s="152">
        <f ca="1">'налог с ФОТ'!M5</f>
        <v>171000</v>
      </c>
      <c r="U18" s="132">
        <f t="shared" si="2"/>
        <v>2087379.96</v>
      </c>
      <c r="V18" s="133">
        <f t="shared" si="4"/>
        <v>2416000</v>
      </c>
      <c r="W18" s="163">
        <f t="shared" si="5"/>
        <v>328620.04000000004</v>
      </c>
    </row>
    <row r="19" spans="1:24" ht="15.75">
      <c r="A19" s="75" t="s">
        <v>114</v>
      </c>
      <c r="B19" s="53"/>
      <c r="C19" s="53"/>
      <c r="D19" s="53"/>
      <c r="E19" s="53"/>
      <c r="F19" s="118">
        <v>200000</v>
      </c>
      <c r="G19" s="127">
        <f t="shared" si="3"/>
        <v>16666.666666666668</v>
      </c>
      <c r="H19" s="98"/>
      <c r="I19" s="153">
        <f ca="1">'приобрт инвентаря и оборуд'!B13</f>
        <v>18490</v>
      </c>
      <c r="J19" s="153">
        <f ca="1">'приобрт инвентаря и оборуд'!C13</f>
        <v>25716</v>
      </c>
      <c r="K19" s="153">
        <f ca="1">'приобрт инвентаря и оборуд'!D13</f>
        <v>0</v>
      </c>
      <c r="L19" s="153">
        <f ca="1">'приобрт инвентаря и оборуд'!E13</f>
        <v>4990</v>
      </c>
      <c r="M19" s="153">
        <f ca="1">'приобрт инвентаря и оборуд'!F13</f>
        <v>0</v>
      </c>
      <c r="N19" s="153">
        <f ca="1">'приобрт инвентаря и оборуд'!G13</f>
        <v>20050</v>
      </c>
      <c r="O19" s="153">
        <f ca="1">'приобрт инвентаря и оборуд'!H13</f>
        <v>1980</v>
      </c>
      <c r="P19" s="153">
        <f ca="1">'приобрт инвентаря и оборуд'!I13</f>
        <v>0</v>
      </c>
      <c r="Q19" s="153">
        <f ca="1">'приобрт инвентаря и оборуд'!J13</f>
        <v>0</v>
      </c>
      <c r="R19" s="153">
        <f ca="1">'приобрт инвентаря и оборуд'!K13</f>
        <v>0</v>
      </c>
      <c r="S19" s="153">
        <f ca="1">'приобрт инвентаря и оборуд'!L13</f>
        <v>54753</v>
      </c>
      <c r="T19" s="153">
        <f ca="1">'приобрт инвентаря и оборуд'!M13</f>
        <v>1568</v>
      </c>
      <c r="U19" s="132">
        <f t="shared" si="2"/>
        <v>127547</v>
      </c>
      <c r="V19" s="133">
        <f t="shared" si="4"/>
        <v>200000</v>
      </c>
      <c r="W19" s="163">
        <f t="shared" si="5"/>
        <v>72453</v>
      </c>
    </row>
    <row r="20" spans="1:24" ht="15.75">
      <c r="A20" s="71" t="s">
        <v>28</v>
      </c>
      <c r="B20" s="58"/>
      <c r="C20" s="58"/>
      <c r="D20" s="58"/>
      <c r="E20" s="58"/>
      <c r="F20" s="126">
        <v>3502000</v>
      </c>
      <c r="G20" s="127">
        <f t="shared" si="3"/>
        <v>291833.33333333331</v>
      </c>
      <c r="H20" s="135"/>
      <c r="I20" s="152">
        <f ca="1">'вывоз мусора'!B11</f>
        <v>263300</v>
      </c>
      <c r="J20" s="152">
        <f ca="1">'вывоз мусора'!C11</f>
        <v>271868</v>
      </c>
      <c r="K20" s="152">
        <f ca="1">'вывоз мусора'!D11</f>
        <v>280000</v>
      </c>
      <c r="L20" s="152">
        <f ca="1">'вывоз мусора'!E11</f>
        <v>280000</v>
      </c>
      <c r="M20" s="152">
        <f ca="1">'вывоз мусора'!F11</f>
        <v>497800</v>
      </c>
      <c r="N20" s="152">
        <f ca="1">'вывоз мусора'!G11</f>
        <v>540000</v>
      </c>
      <c r="O20" s="152">
        <f ca="1">'вывоз мусора'!H11</f>
        <v>370000</v>
      </c>
      <c r="P20" s="152">
        <f ca="1">'вывоз мусора'!I11</f>
        <v>180000</v>
      </c>
      <c r="Q20" s="152">
        <f ca="1">'вывоз мусора'!J11</f>
        <v>337151</v>
      </c>
      <c r="R20" s="152">
        <f ca="1">'вывоз мусора'!K11</f>
        <v>120000</v>
      </c>
      <c r="S20" s="152">
        <f ca="1">'вывоз мусора'!L11</f>
        <v>350000</v>
      </c>
      <c r="T20" s="152">
        <f ca="1">'вывоз мусора'!M11</f>
        <v>350000</v>
      </c>
      <c r="U20" s="132">
        <f t="shared" si="2"/>
        <v>3840119</v>
      </c>
      <c r="V20" s="133">
        <f>G20*$V$2</f>
        <v>3502000</v>
      </c>
      <c r="W20" s="163">
        <f t="shared" si="5"/>
        <v>-338119</v>
      </c>
    </row>
    <row r="21" spans="1:24" ht="15.75">
      <c r="A21" s="71" t="s">
        <v>32</v>
      </c>
      <c r="B21" s="58"/>
      <c r="C21" s="58"/>
      <c r="D21" s="58"/>
      <c r="E21" s="81"/>
      <c r="F21" s="126">
        <v>6840000</v>
      </c>
      <c r="G21" s="127">
        <f t="shared" si="3"/>
        <v>570000</v>
      </c>
      <c r="H21" s="135"/>
      <c r="I21" s="152">
        <f ca="1">'сод охраны'!B7</f>
        <v>570000</v>
      </c>
      <c r="J21" s="152">
        <f ca="1">'сод охраны'!C7</f>
        <v>570000</v>
      </c>
      <c r="K21" s="152">
        <f ca="1">'сод охраны'!D7</f>
        <v>570000</v>
      </c>
      <c r="L21" s="152">
        <f ca="1">'сод охраны'!E7</f>
        <v>570000</v>
      </c>
      <c r="M21" s="152">
        <f ca="1">'сод охраны'!F7</f>
        <v>798234</v>
      </c>
      <c r="N21" s="152">
        <f ca="1">'сод охраны'!G7</f>
        <v>570000</v>
      </c>
      <c r="O21" s="152">
        <f ca="1">'сод охраны'!H7</f>
        <v>570000</v>
      </c>
      <c r="P21" s="152">
        <f ca="1">'сод охраны'!I7</f>
        <v>570000</v>
      </c>
      <c r="Q21" s="152">
        <f ca="1">'сод охраны'!J7</f>
        <v>517121</v>
      </c>
      <c r="R21" s="152">
        <f ca="1">'сод охраны'!K7</f>
        <v>517121</v>
      </c>
      <c r="S21" s="152">
        <f ca="1">'сод охраны'!L7</f>
        <v>517121</v>
      </c>
      <c r="T21" s="152">
        <f ca="1">'сод охраны'!M7</f>
        <v>517121</v>
      </c>
      <c r="U21" s="132">
        <f t="shared" si="2"/>
        <v>6856718</v>
      </c>
      <c r="V21" s="133">
        <f t="shared" si="4"/>
        <v>6840000</v>
      </c>
      <c r="W21" s="163">
        <f t="shared" si="5"/>
        <v>-16718</v>
      </c>
    </row>
    <row r="22" spans="1:24" ht="15.75">
      <c r="A22" s="75" t="s">
        <v>34</v>
      </c>
      <c r="B22" s="53"/>
      <c r="C22" s="53"/>
      <c r="D22" s="53"/>
      <c r="E22" s="53"/>
      <c r="F22" s="118">
        <v>230000</v>
      </c>
      <c r="G22" s="127">
        <f t="shared" si="3"/>
        <v>19166.666666666668</v>
      </c>
      <c r="H22" s="98"/>
      <c r="I22" s="153">
        <f ca="1">'содерж газ оборуд'!B6</f>
        <v>17930</v>
      </c>
      <c r="J22" s="153">
        <f ca="1">'содерж газ оборуд'!C6</f>
        <v>17930</v>
      </c>
      <c r="K22" s="153">
        <f ca="1">'содерж газ оборуд'!D6</f>
        <v>17930</v>
      </c>
      <c r="L22" s="153">
        <f ca="1">'содерж газ оборуд'!E6</f>
        <v>17930</v>
      </c>
      <c r="M22" s="153">
        <f ca="1">'содерж газ оборуд'!F6</f>
        <v>17930</v>
      </c>
      <c r="N22" s="153">
        <f ca="1">'содерж газ оборуд'!G6</f>
        <v>17930</v>
      </c>
      <c r="O22" s="153">
        <f ca="1">'содерж газ оборуд'!H6</f>
        <v>17930</v>
      </c>
      <c r="P22" s="153">
        <f ca="1">'содерж газ оборуд'!I6</f>
        <v>20049</v>
      </c>
      <c r="Q22" s="153">
        <f ca="1">'содерж газ оборуд'!J6</f>
        <v>20049</v>
      </c>
      <c r="R22" s="153">
        <f ca="1">'содерж газ оборуд'!K6</f>
        <v>20049</v>
      </c>
      <c r="S22" s="153">
        <f ca="1">'содерж газ оборуд'!L6</f>
        <v>20697.669999999998</v>
      </c>
      <c r="T22" s="153">
        <f ca="1">'содерж газ оборуд'!M6</f>
        <v>20697.669999999998</v>
      </c>
      <c r="U22" s="132">
        <f t="shared" si="2"/>
        <v>227052.33999999997</v>
      </c>
      <c r="V22" s="133">
        <f t="shared" si="4"/>
        <v>230000</v>
      </c>
      <c r="W22" s="163">
        <f t="shared" si="5"/>
        <v>2947.6600000000326</v>
      </c>
    </row>
    <row r="23" spans="1:24" ht="15.75">
      <c r="A23" s="71" t="s">
        <v>36</v>
      </c>
      <c r="B23" s="58"/>
      <c r="C23" s="58"/>
      <c r="D23" s="58"/>
      <c r="E23" s="58"/>
      <c r="F23" s="126">
        <v>360000</v>
      </c>
      <c r="G23" s="127">
        <f t="shared" si="3"/>
        <v>30000</v>
      </c>
      <c r="H23" s="135"/>
      <c r="I23" s="152">
        <f ca="1">'сод сетей водоснабжения'!B26</f>
        <v>8104</v>
      </c>
      <c r="J23" s="152">
        <f ca="1">'сод сетей водоснабжения'!C26</f>
        <v>29738</v>
      </c>
      <c r="K23" s="152">
        <f ca="1">'сод сетей водоснабжения'!D26</f>
        <v>0</v>
      </c>
      <c r="L23" s="152">
        <f ca="1">'сод сетей водоснабжения'!E26</f>
        <v>0</v>
      </c>
      <c r="M23" s="152">
        <f ca="1">'сод сетей водоснабжения'!F26</f>
        <v>34452.979999999996</v>
      </c>
      <c r="N23" s="152">
        <f ca="1">'сод сетей водоснабжения'!G26</f>
        <v>859.8</v>
      </c>
      <c r="O23" s="152">
        <f ca="1">'сод сетей водоснабжения'!H26</f>
        <v>10633</v>
      </c>
      <c r="P23" s="152">
        <f ca="1">'сод сетей водоснабжения'!I26</f>
        <v>52378.3</v>
      </c>
      <c r="Q23" s="152">
        <f ca="1">'сод сетей водоснабжения'!J26</f>
        <v>44066.7</v>
      </c>
      <c r="R23" s="152">
        <f ca="1">'сод сетей водоснабжения'!K26</f>
        <v>23911</v>
      </c>
      <c r="S23" s="152">
        <f ca="1">'сод сетей водоснабжения'!L26</f>
        <v>264691</v>
      </c>
      <c r="T23" s="152">
        <f ca="1">'сод сетей водоснабжения'!M26</f>
        <v>49588</v>
      </c>
      <c r="U23" s="132">
        <f t="shared" si="2"/>
        <v>518422.78</v>
      </c>
      <c r="V23" s="133">
        <f t="shared" si="4"/>
        <v>360000</v>
      </c>
      <c r="W23" s="163">
        <f t="shared" si="5"/>
        <v>-158422.78000000003</v>
      </c>
    </row>
    <row r="24" spans="1:24" ht="15.75">
      <c r="A24" s="71" t="s">
        <v>107</v>
      </c>
      <c r="B24" s="58"/>
      <c r="C24" s="58"/>
      <c r="D24" s="58"/>
      <c r="E24" s="58"/>
      <c r="F24" s="126">
        <v>470000</v>
      </c>
      <c r="G24" s="127">
        <f t="shared" si="3"/>
        <v>39166.666666666664</v>
      </c>
      <c r="H24" s="135"/>
      <c r="I24" s="152">
        <f ca="1">'сод сетей канализации'!B22</f>
        <v>102545</v>
      </c>
      <c r="J24" s="152">
        <f ca="1">'сод сетей канализации'!C22</f>
        <v>70761.03</v>
      </c>
      <c r="K24" s="152">
        <f ca="1">'сод сетей канализации'!D22</f>
        <v>32000</v>
      </c>
      <c r="L24" s="152">
        <f ca="1">'сод сетей канализации'!E22</f>
        <v>32000</v>
      </c>
      <c r="M24" s="152">
        <f ca="1">'сод сетей канализации'!F22</f>
        <v>1643.2</v>
      </c>
      <c r="N24" s="152">
        <f ca="1">'сод сетей канализации'!G22</f>
        <v>17725</v>
      </c>
      <c r="O24" s="152">
        <f ca="1">'сод сетей канализации'!H22</f>
        <v>29284.42</v>
      </c>
      <c r="P24" s="152">
        <f ca="1">'сод сетей канализации'!I22</f>
        <v>1000</v>
      </c>
      <c r="Q24" s="152">
        <f ca="1">'сод сетей канализации'!J22</f>
        <v>820</v>
      </c>
      <c r="R24" s="152">
        <f ca="1">'сод сетей канализации'!K22</f>
        <v>34812</v>
      </c>
      <c r="S24" s="152">
        <f ca="1">'сод сетей канализации'!L22</f>
        <v>62742.979999999996</v>
      </c>
      <c r="T24" s="152">
        <f ca="1">'сод сетей канализации'!M22</f>
        <v>18300</v>
      </c>
      <c r="U24" s="132">
        <f t="shared" si="2"/>
        <v>403633.63</v>
      </c>
      <c r="V24" s="133">
        <f t="shared" si="4"/>
        <v>470000</v>
      </c>
      <c r="W24" s="163">
        <f t="shared" si="5"/>
        <v>66366.37</v>
      </c>
    </row>
    <row r="25" spans="1:24" ht="15.75">
      <c r="A25" s="71" t="s">
        <v>81</v>
      </c>
      <c r="B25" s="58"/>
      <c r="C25" s="58"/>
      <c r="D25" s="58"/>
      <c r="E25" s="58"/>
      <c r="F25" s="126">
        <v>200000</v>
      </c>
      <c r="G25" s="127">
        <f t="shared" si="3"/>
        <v>16666.666666666668</v>
      </c>
      <c r="H25" s="135"/>
      <c r="I25" s="152">
        <f ca="1">'сод сетей электроснабжения'!B21</f>
        <v>16768</v>
      </c>
      <c r="J25" s="152">
        <f ca="1">'сод сетей электроснабжения'!C21</f>
        <v>3827</v>
      </c>
      <c r="K25" s="152">
        <f ca="1">'сод сетей электроснабжения'!D21</f>
        <v>2602</v>
      </c>
      <c r="L25" s="152">
        <f ca="1">'сод сетей электроснабжения'!E21</f>
        <v>0</v>
      </c>
      <c r="M25" s="152">
        <f ca="1">'сод сетей электроснабжения'!F21</f>
        <v>2816.93</v>
      </c>
      <c r="N25" s="152">
        <f ca="1">'сод сетей электроснабжения'!G21</f>
        <v>38673.279999999999</v>
      </c>
      <c r="O25" s="152">
        <f ca="1">'сод сетей электроснабжения'!H21</f>
        <v>53993.8</v>
      </c>
      <c r="P25" s="152">
        <f ca="1">'сод сетей электроснабжения'!I21</f>
        <v>5208</v>
      </c>
      <c r="Q25" s="152">
        <f ca="1">'сод сетей электроснабжения'!J21</f>
        <v>16805.32</v>
      </c>
      <c r="R25" s="152">
        <f ca="1">'сод сетей электроснабжения'!K21</f>
        <v>11614.95</v>
      </c>
      <c r="S25" s="152">
        <f ca="1">'сод сетей электроснабжения'!L21</f>
        <v>13892.68</v>
      </c>
      <c r="T25" s="152">
        <f ca="1">'сод сетей электроснабжения'!M21</f>
        <v>0</v>
      </c>
      <c r="U25" s="132">
        <f t="shared" si="2"/>
        <v>166201.96000000002</v>
      </c>
      <c r="V25" s="133">
        <f t="shared" si="4"/>
        <v>200000</v>
      </c>
      <c r="W25" s="163">
        <f t="shared" si="5"/>
        <v>33798.039999999979</v>
      </c>
    </row>
    <row r="26" spans="1:24" ht="15.75">
      <c r="A26" s="71" t="s">
        <v>82</v>
      </c>
      <c r="B26" s="58"/>
      <c r="C26" s="58"/>
      <c r="D26" s="58"/>
      <c r="E26" s="58"/>
      <c r="F26" s="126">
        <v>2400000</v>
      </c>
      <c r="G26" s="127">
        <f t="shared" si="3"/>
        <v>200000</v>
      </c>
      <c r="H26" s="135"/>
      <c r="I26" s="152">
        <f ca="1">'электроэнергия на общ нужды'!B6</f>
        <v>119463</v>
      </c>
      <c r="J26" s="152">
        <f ca="1">'электроэнергия на общ нужды'!C6</f>
        <v>99476</v>
      </c>
      <c r="K26" s="152">
        <f ca="1">'электроэнергия на общ нужды'!D6</f>
        <v>149510</v>
      </c>
      <c r="L26" s="152">
        <f ca="1">'электроэнергия на общ нужды'!E6</f>
        <v>148000</v>
      </c>
      <c r="M26" s="152">
        <f ca="1">'электроэнергия на общ нужды'!F6</f>
        <v>130757</v>
      </c>
      <c r="N26" s="152">
        <f ca="1">'электроэнергия на общ нужды'!G6</f>
        <v>248946.88</v>
      </c>
      <c r="O26" s="152">
        <f ca="1">'электроэнергия на общ нужды'!H6</f>
        <v>222828</v>
      </c>
      <c r="P26" s="152">
        <f ca="1">'электроэнергия на общ нужды'!I6</f>
        <v>224960</v>
      </c>
      <c r="Q26" s="152">
        <f ca="1">'электроэнергия на общ нужды'!J6</f>
        <v>556463</v>
      </c>
      <c r="R26" s="152">
        <f ca="1">'электроэнергия на общ нужды'!K6</f>
        <v>181101.7</v>
      </c>
      <c r="S26" s="152">
        <f ca="1">'электроэнергия на общ нужды'!L6</f>
        <v>165616.20000000001</v>
      </c>
      <c r="T26" s="152">
        <f ca="1">'электроэнергия на общ нужды'!M6</f>
        <v>201133.02</v>
      </c>
      <c r="U26" s="132">
        <f t="shared" si="2"/>
        <v>2448254.7999999998</v>
      </c>
      <c r="V26" s="133">
        <f t="shared" si="4"/>
        <v>2400000</v>
      </c>
      <c r="W26" s="163">
        <f t="shared" si="5"/>
        <v>-48254.799999999814</v>
      </c>
    </row>
    <row r="27" spans="1:24" ht="15.75">
      <c r="A27" s="71" t="s">
        <v>116</v>
      </c>
      <c r="B27" s="58"/>
      <c r="C27" s="58"/>
      <c r="D27" s="58"/>
      <c r="E27" s="58"/>
      <c r="F27" s="126">
        <v>350000</v>
      </c>
      <c r="G27" s="127">
        <f t="shared" si="3"/>
        <v>29166.666666666668</v>
      </c>
      <c r="H27" s="135"/>
      <c r="I27" s="152">
        <f ca="1">'содерж дорог'!B35</f>
        <v>22105</v>
      </c>
      <c r="J27" s="152">
        <f ca="1">'содерж дорог'!C35</f>
        <v>17559</v>
      </c>
      <c r="K27" s="152">
        <f ca="1">'содерж дорог'!D35</f>
        <v>0</v>
      </c>
      <c r="L27" s="152">
        <f ca="1">'содерж дорог'!E35</f>
        <v>28373.02</v>
      </c>
      <c r="M27" s="152">
        <f ca="1">'содерж дорог'!F35</f>
        <v>21307.599999999999</v>
      </c>
      <c r="N27" s="152">
        <f ca="1">'содерж дорог'!G35</f>
        <v>41498</v>
      </c>
      <c r="O27" s="152">
        <f ca="1">'содерж дорог'!H35</f>
        <v>34357</v>
      </c>
      <c r="P27" s="152">
        <f ca="1">'содерж дорог'!I35</f>
        <v>20485.400000000001</v>
      </c>
      <c r="Q27" s="152">
        <f ca="1">'содерж дорог'!J35</f>
        <v>2906</v>
      </c>
      <c r="R27" s="152">
        <f ca="1">'содерж дорог'!K35</f>
        <v>6000</v>
      </c>
      <c r="S27" s="152">
        <f ca="1">'содерж дорог'!L35</f>
        <v>21956</v>
      </c>
      <c r="T27" s="152">
        <f ca="1">'содерж дорог'!M35</f>
        <v>12365</v>
      </c>
      <c r="U27" s="132">
        <f t="shared" si="2"/>
        <v>228912.02</v>
      </c>
      <c r="V27" s="133">
        <f t="shared" si="4"/>
        <v>350000</v>
      </c>
      <c r="W27" s="163">
        <f t="shared" si="5"/>
        <v>121087.98000000001</v>
      </c>
    </row>
    <row r="28" spans="1:24" ht="15.75">
      <c r="A28" s="71" t="s">
        <v>132</v>
      </c>
      <c r="B28" s="58"/>
      <c r="C28" s="58"/>
      <c r="D28" s="58"/>
      <c r="E28" s="58"/>
      <c r="F28" s="126">
        <v>400000</v>
      </c>
      <c r="G28" s="127"/>
      <c r="H28" s="135"/>
      <c r="I28" s="152">
        <f ca="1">'Ямочный ремонт дорог'!B7</f>
        <v>0</v>
      </c>
      <c r="J28" s="152">
        <f ca="1">'Ямочный ремонт дорог'!C7</f>
        <v>0</v>
      </c>
      <c r="K28" s="152">
        <f ca="1">'Ямочный ремонт дорог'!D7</f>
        <v>397805</v>
      </c>
      <c r="L28" s="152">
        <f ca="1">'Ямочный ремонт дорог'!E7</f>
        <v>0</v>
      </c>
      <c r="M28" s="152">
        <f ca="1">'Ямочный ремонт дорог'!F7</f>
        <v>0</v>
      </c>
      <c r="N28" s="152">
        <v>0</v>
      </c>
      <c r="O28" s="152">
        <v>0</v>
      </c>
      <c r="P28" s="152">
        <v>0</v>
      </c>
      <c r="Q28" s="152">
        <v>0</v>
      </c>
      <c r="R28" s="152">
        <v>0</v>
      </c>
      <c r="S28" s="152">
        <v>0</v>
      </c>
      <c r="T28" s="152">
        <v>0</v>
      </c>
      <c r="U28" s="247">
        <f t="shared" si="2"/>
        <v>397805</v>
      </c>
      <c r="V28" s="248">
        <f>F28</f>
        <v>400000</v>
      </c>
      <c r="W28" s="163">
        <f>V28-U28</f>
        <v>2195</v>
      </c>
    </row>
    <row r="29" spans="1:24" ht="15.75">
      <c r="A29" s="71" t="s">
        <v>84</v>
      </c>
      <c r="B29" s="58"/>
      <c r="C29" s="58"/>
      <c r="D29" s="58"/>
      <c r="E29" s="58"/>
      <c r="F29" s="126">
        <v>250000</v>
      </c>
      <c r="G29" s="127">
        <f t="shared" si="3"/>
        <v>20833.333333333332</v>
      </c>
      <c r="H29" s="135"/>
      <c r="I29" s="152">
        <f ca="1">благоустройство!B28</f>
        <v>43597</v>
      </c>
      <c r="J29" s="152">
        <f ca="1">благоустройство!C28</f>
        <v>24105</v>
      </c>
      <c r="K29" s="152">
        <f ca="1">благоустройство!D28</f>
        <v>10769</v>
      </c>
      <c r="L29" s="152">
        <f ca="1">благоустройство!E28</f>
        <v>145734</v>
      </c>
      <c r="M29" s="152">
        <f ca="1">благоустройство!F28</f>
        <v>91427.6</v>
      </c>
      <c r="N29" s="152">
        <f ca="1">благоустройство!G28</f>
        <v>0</v>
      </c>
      <c r="O29" s="152">
        <f ca="1">благоустройство!H28</f>
        <v>3329</v>
      </c>
      <c r="P29" s="152">
        <f ca="1">благоустройство!I28</f>
        <v>13398</v>
      </c>
      <c r="Q29" s="152">
        <f ca="1">благоустройство!J28</f>
        <v>20559</v>
      </c>
      <c r="R29" s="152">
        <f ca="1">благоустройство!K28</f>
        <v>23568</v>
      </c>
      <c r="S29" s="152">
        <f ca="1">благоустройство!L28</f>
        <v>69620</v>
      </c>
      <c r="T29" s="152">
        <f ca="1">благоустройство!M28</f>
        <v>4940</v>
      </c>
      <c r="U29" s="132">
        <f t="shared" si="2"/>
        <v>451046.6</v>
      </c>
      <c r="V29" s="133">
        <f t="shared" si="4"/>
        <v>250000</v>
      </c>
      <c r="W29" s="163">
        <f>V29-U29</f>
        <v>-201046.59999999998</v>
      </c>
    </row>
    <row r="30" spans="1:24" ht="15.75">
      <c r="A30" s="71" t="s">
        <v>131</v>
      </c>
      <c r="B30" s="58"/>
      <c r="C30" s="58"/>
      <c r="D30" s="58"/>
      <c r="E30" s="58"/>
      <c r="F30" s="126">
        <v>700000</v>
      </c>
      <c r="G30" s="127"/>
      <c r="H30" s="135"/>
      <c r="I30" s="152">
        <v>700000</v>
      </c>
      <c r="J30" s="152">
        <v>0</v>
      </c>
      <c r="K30" s="152">
        <v>0</v>
      </c>
      <c r="L30" s="152">
        <v>0</v>
      </c>
      <c r="M30" s="152">
        <v>0</v>
      </c>
      <c r="N30" s="152">
        <v>0</v>
      </c>
      <c r="O30" s="152">
        <v>0</v>
      </c>
      <c r="P30" s="152">
        <v>0</v>
      </c>
      <c r="Q30" s="152">
        <v>0</v>
      </c>
      <c r="R30" s="152">
        <v>0</v>
      </c>
      <c r="S30" s="152">
        <v>0</v>
      </c>
      <c r="T30" s="152">
        <v>0</v>
      </c>
      <c r="U30" s="247">
        <f t="shared" si="2"/>
        <v>700000</v>
      </c>
      <c r="V30" s="248">
        <f>F30</f>
        <v>700000</v>
      </c>
      <c r="W30" s="163">
        <f>V30-U30</f>
        <v>0</v>
      </c>
    </row>
    <row r="31" spans="1:24" ht="15.75">
      <c r="A31" s="200" t="s">
        <v>130</v>
      </c>
      <c r="B31" s="47"/>
      <c r="C31" s="47"/>
      <c r="D31" s="47"/>
      <c r="E31" s="47"/>
      <c r="F31" s="201">
        <v>211400</v>
      </c>
      <c r="G31" s="202"/>
      <c r="H31" s="203"/>
      <c r="I31" s="204">
        <v>210000</v>
      </c>
      <c r="J31" s="204">
        <v>0</v>
      </c>
      <c r="K31" s="204">
        <v>0</v>
      </c>
      <c r="L31" s="204">
        <v>0</v>
      </c>
      <c r="M31" s="204">
        <v>0</v>
      </c>
      <c r="N31" s="204">
        <v>0</v>
      </c>
      <c r="O31" s="204">
        <v>0</v>
      </c>
      <c r="P31" s="204">
        <v>0</v>
      </c>
      <c r="Q31" s="204">
        <v>0</v>
      </c>
      <c r="R31" s="204">
        <v>0</v>
      </c>
      <c r="S31" s="204">
        <v>0</v>
      </c>
      <c r="T31" s="204">
        <v>0</v>
      </c>
      <c r="U31" s="247">
        <f t="shared" si="2"/>
        <v>210000</v>
      </c>
      <c r="V31" s="248">
        <v>210000</v>
      </c>
      <c r="W31" s="163">
        <f>V31-U31</f>
        <v>0</v>
      </c>
    </row>
    <row r="32" spans="1:24" ht="16.5" thickBot="1">
      <c r="A32" s="99" t="s">
        <v>86</v>
      </c>
      <c r="B32" s="97"/>
      <c r="C32" s="97"/>
      <c r="D32" s="97"/>
      <c r="E32" s="97"/>
      <c r="F32" s="154">
        <v>1358170</v>
      </c>
      <c r="G32" s="155">
        <f t="shared" si="3"/>
        <v>113180.83333333333</v>
      </c>
      <c r="H32" s="139"/>
      <c r="I32" s="156">
        <v>0</v>
      </c>
      <c r="J32" s="156">
        <f ca="1">'резервный фонд'!C27</f>
        <v>0</v>
      </c>
      <c r="K32" s="156">
        <f ca="1">'резервный фонд'!D27</f>
        <v>0</v>
      </c>
      <c r="L32" s="156">
        <f ca="1">'резервный фонд'!E27</f>
        <v>90754.55</v>
      </c>
      <c r="M32" s="156">
        <f ca="1">'резервный фонд'!F27</f>
        <v>40000</v>
      </c>
      <c r="N32" s="156">
        <f ca="1">'резервный фонд'!G27</f>
        <v>336581</v>
      </c>
      <c r="O32" s="156">
        <f ca="1">'резервный фонд'!H27</f>
        <v>38499</v>
      </c>
      <c r="P32" s="156">
        <f ca="1">'резервный фонд'!I27</f>
        <v>125425</v>
      </c>
      <c r="Q32" s="156">
        <f ca="1">'резервный фонд'!J27</f>
        <v>18872.785</v>
      </c>
      <c r="R32" s="156">
        <f ca="1">'резервный фонд'!K27</f>
        <v>24859.5</v>
      </c>
      <c r="S32" s="156">
        <f ca="1">'резервный фонд'!L27</f>
        <v>172220</v>
      </c>
      <c r="T32" s="156">
        <f ca="1">'резервный фонд'!M27</f>
        <v>0</v>
      </c>
      <c r="U32" s="145">
        <f t="shared" si="2"/>
        <v>847211.83500000008</v>
      </c>
      <c r="V32" s="145">
        <f>G32*10</f>
        <v>1131808.3333333333</v>
      </c>
      <c r="W32" s="164">
        <f>V32-U32</f>
        <v>284596.49833333318</v>
      </c>
      <c r="X32" s="49"/>
    </row>
    <row r="33" spans="1:23" ht="15.75">
      <c r="A33" s="342" t="s">
        <v>99</v>
      </c>
      <c r="B33" s="343"/>
      <c r="C33" s="343"/>
      <c r="D33" s="343"/>
      <c r="E33" s="344"/>
      <c r="F33" s="118">
        <f>SUM(F13:F32)</f>
        <v>28837570</v>
      </c>
      <c r="G33" s="119">
        <f>SUM(G13:G32)</f>
        <v>2293847.5000000005</v>
      </c>
      <c r="H33" s="98"/>
      <c r="I33" s="117">
        <f>SUM(I13:I32)</f>
        <v>2990865</v>
      </c>
      <c r="J33" s="117">
        <f>SUM(J13:J32)</f>
        <v>2083866.03</v>
      </c>
      <c r="K33" s="117">
        <f t="shared" ref="K33:W33" si="6">SUM(K13:K32)</f>
        <v>2269329</v>
      </c>
      <c r="L33" s="170">
        <f t="shared" si="6"/>
        <v>2044106.1400000001</v>
      </c>
      <c r="M33" s="170">
        <f t="shared" si="6"/>
        <v>2655823.3200000003</v>
      </c>
      <c r="N33" s="191">
        <f t="shared" si="6"/>
        <v>2651996.2800000003</v>
      </c>
      <c r="O33" s="199">
        <f t="shared" si="6"/>
        <v>2141873.4</v>
      </c>
      <c r="P33" s="199">
        <f t="shared" si="6"/>
        <v>2303624.63</v>
      </c>
      <c r="Q33" s="199">
        <f t="shared" si="6"/>
        <v>2355176.165</v>
      </c>
      <c r="R33" s="199">
        <f t="shared" si="6"/>
        <v>1842608.76</v>
      </c>
      <c r="S33" s="199">
        <f t="shared" si="6"/>
        <v>2506851.2999999998</v>
      </c>
      <c r="T33" s="199">
        <f t="shared" si="6"/>
        <v>1975212.69</v>
      </c>
      <c r="U33" s="148">
        <f t="shared" si="6"/>
        <v>27821332.715000004</v>
      </c>
      <c r="V33" s="148">
        <f>SUM(V13:V32)</f>
        <v>28609808.333333332</v>
      </c>
      <c r="W33" s="148">
        <f t="shared" si="6"/>
        <v>788475.6183333334</v>
      </c>
    </row>
    <row r="35" spans="1:23" ht="31.5" customHeight="1">
      <c r="A35" s="361" t="s">
        <v>156</v>
      </c>
      <c r="B35" s="362"/>
      <c r="C35" s="362"/>
      <c r="D35" s="362"/>
      <c r="E35" s="237"/>
      <c r="F35" s="238">
        <v>1403910</v>
      </c>
      <c r="G35" s="239"/>
      <c r="H35" s="237"/>
      <c r="I35" s="240">
        <f ca="1">'Ремонт водопров. (закольцовка)'!B18</f>
        <v>391397</v>
      </c>
      <c r="J35" s="240">
        <f ca="1">'Ремонт водопров. (закольцовка)'!C18</f>
        <v>1370869.97</v>
      </c>
      <c r="K35" s="240">
        <f ca="1">'Ремонт водопров. (закольцовка)'!D18</f>
        <v>344815</v>
      </c>
      <c r="L35" s="240">
        <f ca="1">'Ремонт водопров. (закольцовка)'!E18</f>
        <v>160000</v>
      </c>
      <c r="M35" s="240">
        <f ca="1">'Ремонт водопров. (закольцовка)'!F18</f>
        <v>35463.29</v>
      </c>
      <c r="N35" s="240">
        <f ca="1">'Ремонт водопров. (закольцовка)'!G18</f>
        <v>15500</v>
      </c>
      <c r="O35" s="240">
        <f ca="1">'Ремонт водопров. (закольцовка)'!H18</f>
        <v>0</v>
      </c>
      <c r="P35" s="240">
        <f ca="1">'Ремонт водопров. (закольцовка)'!I18</f>
        <v>0</v>
      </c>
      <c r="Q35" s="240">
        <f ca="1">'Ремонт водопров. (закольцовка)'!J18</f>
        <v>0</v>
      </c>
      <c r="R35" s="240">
        <f ca="1">'Ремонт водопров. (закольцовка)'!K18</f>
        <v>0</v>
      </c>
      <c r="S35" s="240">
        <v>0</v>
      </c>
      <c r="T35" s="237">
        <v>0</v>
      </c>
      <c r="U35" s="165">
        <f>SUM(I35:T35)</f>
        <v>2318045.2599999998</v>
      </c>
      <c r="V35" s="317">
        <v>1403910</v>
      </c>
      <c r="W35" s="165">
        <f>V35-U35</f>
        <v>-914135.25999999978</v>
      </c>
    </row>
    <row r="36" spans="1:23">
      <c r="A36" s="184"/>
      <c r="B36" s="184"/>
      <c r="C36" s="184"/>
      <c r="D36" s="184"/>
      <c r="E36" s="184"/>
      <c r="F36" s="183"/>
      <c r="G36" s="183"/>
      <c r="H36" s="184"/>
      <c r="I36" s="183"/>
      <c r="J36" s="183"/>
      <c r="K36" s="183"/>
      <c r="L36" s="184"/>
      <c r="M36" s="184"/>
      <c r="N36" s="184"/>
      <c r="O36" s="184"/>
      <c r="P36" s="184"/>
      <c r="Q36" s="184"/>
      <c r="R36" s="184"/>
      <c r="S36" s="184"/>
      <c r="T36" s="184"/>
      <c r="U36" s="183"/>
      <c r="V36" s="183"/>
      <c r="W36" s="183"/>
    </row>
    <row r="37" spans="1:23">
      <c r="A37" s="184"/>
      <c r="B37" s="184"/>
      <c r="C37" s="184"/>
      <c r="D37" s="184"/>
      <c r="E37" s="184"/>
      <c r="F37" s="183"/>
      <c r="G37" s="183"/>
      <c r="H37" s="184"/>
      <c r="I37" s="183"/>
      <c r="J37" s="183"/>
      <c r="K37" s="183"/>
      <c r="L37" s="184"/>
      <c r="M37" s="184"/>
      <c r="N37" s="184"/>
      <c r="O37" s="184"/>
      <c r="P37" s="184"/>
      <c r="Q37" s="184"/>
      <c r="R37" s="184"/>
      <c r="S37" s="184"/>
      <c r="T37" s="184"/>
      <c r="U37" s="183"/>
      <c r="V37" s="183"/>
      <c r="W37" s="183"/>
    </row>
    <row r="38" spans="1:23">
      <c r="A38" s="328"/>
      <c r="B38" s="328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</row>
    <row r="39" spans="1:23">
      <c r="A39" s="184"/>
      <c r="B39" s="184"/>
      <c r="C39" s="184"/>
      <c r="D39" s="184"/>
      <c r="E39" s="184"/>
      <c r="F39" s="183"/>
      <c r="G39" s="183"/>
      <c r="H39" s="184"/>
      <c r="I39" s="183"/>
      <c r="J39" s="183"/>
      <c r="K39" s="183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3"/>
    </row>
    <row r="40" spans="1:23">
      <c r="A40" s="326"/>
      <c r="B40" s="184"/>
      <c r="C40" s="184"/>
      <c r="D40" s="184"/>
      <c r="E40" s="184"/>
      <c r="F40" s="183"/>
      <c r="G40" s="183"/>
      <c r="H40" s="184"/>
      <c r="I40" s="183"/>
      <c r="J40" s="183"/>
      <c r="K40" s="183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3"/>
    </row>
    <row r="41" spans="1:23">
      <c r="A41" s="184"/>
      <c r="B41" s="184"/>
      <c r="C41" s="184"/>
      <c r="D41" s="184"/>
      <c r="E41" s="184"/>
      <c r="F41" s="183"/>
      <c r="G41" s="183"/>
      <c r="H41" s="184"/>
      <c r="I41" s="183"/>
      <c r="J41" s="183"/>
      <c r="K41" s="183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3"/>
    </row>
    <row r="42" spans="1:23">
      <c r="A42" s="184"/>
      <c r="B42" s="184"/>
      <c r="C42" s="184"/>
      <c r="D42" s="184"/>
      <c r="E42" s="184"/>
      <c r="F42" s="183"/>
      <c r="G42" s="183"/>
      <c r="H42" s="184"/>
      <c r="I42" s="183"/>
      <c r="J42" s="183"/>
      <c r="K42" s="183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3"/>
    </row>
    <row r="43" spans="1:23">
      <c r="A43" s="184"/>
      <c r="B43" s="184"/>
      <c r="C43" s="184"/>
      <c r="D43" s="184"/>
      <c r="E43" s="184"/>
      <c r="F43" s="183"/>
      <c r="G43" s="183"/>
      <c r="H43" s="184"/>
      <c r="I43" s="183"/>
      <c r="J43" s="183"/>
      <c r="K43" s="183"/>
      <c r="L43" s="184"/>
      <c r="M43" s="184"/>
      <c r="N43" s="184"/>
      <c r="O43" s="184"/>
      <c r="P43" s="184"/>
      <c r="Q43" s="184"/>
      <c r="R43" s="184"/>
      <c r="S43" s="184"/>
      <c r="T43" s="184"/>
      <c r="U43" s="183"/>
      <c r="V43" s="183"/>
      <c r="W43" s="183"/>
    </row>
    <row r="44" spans="1:23">
      <c r="A44" s="184"/>
      <c r="B44" s="184"/>
      <c r="C44" s="184"/>
      <c r="D44" s="184"/>
      <c r="E44" s="184"/>
      <c r="F44" s="183"/>
      <c r="G44" s="183"/>
      <c r="H44" s="184"/>
      <c r="I44" s="183"/>
      <c r="J44" s="183"/>
      <c r="K44" s="183"/>
      <c r="L44" s="184"/>
      <c r="M44" s="184"/>
      <c r="N44" s="184"/>
      <c r="O44" s="184"/>
      <c r="P44" s="184"/>
      <c r="Q44" s="184"/>
      <c r="R44" s="184"/>
      <c r="S44" s="184"/>
      <c r="T44" s="184"/>
      <c r="U44" s="183"/>
      <c r="V44" s="183"/>
      <c r="W44" s="183"/>
    </row>
    <row r="45" spans="1:23">
      <c r="A45" s="184"/>
      <c r="B45" s="184"/>
      <c r="C45" s="184"/>
      <c r="D45" s="184"/>
      <c r="E45" s="184"/>
      <c r="F45" s="183"/>
      <c r="G45" s="183"/>
      <c r="H45" s="184"/>
      <c r="I45" s="183"/>
      <c r="J45" s="183"/>
      <c r="K45" s="183"/>
      <c r="L45" s="184"/>
      <c r="M45" s="184"/>
      <c r="N45" s="184"/>
      <c r="O45" s="184"/>
      <c r="P45" s="184"/>
      <c r="Q45" s="184"/>
      <c r="R45" s="184"/>
      <c r="S45" s="184"/>
      <c r="T45" s="184"/>
      <c r="U45" s="183"/>
      <c r="V45" s="183"/>
      <c r="W45" s="183"/>
    </row>
    <row r="46" spans="1:23">
      <c r="A46" s="184"/>
      <c r="B46" s="184"/>
      <c r="C46" s="184"/>
      <c r="D46" s="184"/>
      <c r="E46" s="184"/>
      <c r="F46" s="183"/>
      <c r="G46" s="183"/>
      <c r="H46" s="184"/>
      <c r="I46" s="183"/>
      <c r="J46" s="183"/>
      <c r="K46" s="183"/>
      <c r="L46" s="184"/>
      <c r="M46" s="184"/>
      <c r="N46" s="184"/>
      <c r="O46" s="184"/>
      <c r="P46" s="184"/>
      <c r="Q46" s="184"/>
      <c r="R46" s="184"/>
      <c r="S46" s="184"/>
      <c r="T46" s="184"/>
      <c r="U46" s="183"/>
      <c r="V46" s="183"/>
      <c r="W46" s="183"/>
    </row>
    <row r="47" spans="1:23">
      <c r="A47" s="184"/>
      <c r="B47" s="184"/>
      <c r="C47" s="184"/>
      <c r="D47" s="184"/>
      <c r="E47" s="184"/>
      <c r="F47" s="183"/>
      <c r="G47" s="183"/>
      <c r="H47" s="184"/>
      <c r="I47" s="183"/>
      <c r="J47" s="183"/>
      <c r="K47" s="183"/>
      <c r="L47" s="184"/>
      <c r="M47" s="184"/>
      <c r="N47" s="184"/>
      <c r="O47" s="184"/>
      <c r="P47" s="184"/>
      <c r="Q47" s="184"/>
      <c r="R47" s="184"/>
      <c r="S47" s="184"/>
      <c r="T47" s="184"/>
      <c r="U47" s="183"/>
      <c r="V47" s="183"/>
      <c r="W47" s="183"/>
    </row>
    <row r="48" spans="1:23">
      <c r="A48" s="184"/>
      <c r="B48" s="184"/>
      <c r="C48" s="184"/>
      <c r="D48" s="184"/>
      <c r="E48" s="184"/>
      <c r="F48" s="183"/>
      <c r="G48" s="183"/>
      <c r="H48" s="184"/>
      <c r="I48" s="183"/>
      <c r="J48" s="183"/>
      <c r="K48" s="183"/>
      <c r="L48" s="184"/>
      <c r="M48" s="184"/>
      <c r="N48" s="184"/>
      <c r="O48" s="184"/>
      <c r="P48" s="184"/>
      <c r="Q48" s="184"/>
      <c r="R48" s="184"/>
      <c r="S48" s="184"/>
      <c r="T48" s="184"/>
      <c r="U48" s="183"/>
      <c r="V48" s="183"/>
      <c r="W48" s="183"/>
    </row>
    <row r="49" spans="1:23">
      <c r="A49" s="184"/>
      <c r="B49" s="184"/>
      <c r="C49" s="184"/>
      <c r="D49" s="184"/>
      <c r="E49" s="184"/>
      <c r="F49" s="183"/>
      <c r="G49" s="183"/>
      <c r="H49" s="184"/>
      <c r="I49" s="183"/>
      <c r="J49" s="183"/>
      <c r="K49" s="183"/>
      <c r="L49" s="184"/>
      <c r="M49" s="184"/>
      <c r="N49" s="184"/>
      <c r="O49" s="184"/>
      <c r="P49" s="184"/>
      <c r="Q49" s="184"/>
      <c r="R49" s="184"/>
      <c r="S49" s="184"/>
      <c r="T49" s="184"/>
      <c r="U49" s="183"/>
      <c r="V49" s="183"/>
      <c r="W49" s="183"/>
    </row>
    <row r="50" spans="1:23">
      <c r="A50" s="184"/>
      <c r="I50" s="183"/>
    </row>
  </sheetData>
  <mergeCells count="15">
    <mergeCell ref="W3:W4"/>
    <mergeCell ref="A12:E12"/>
    <mergeCell ref="A3:E3"/>
    <mergeCell ref="I3:I4"/>
    <mergeCell ref="J3:J4"/>
    <mergeCell ref="V3:V4"/>
    <mergeCell ref="U3:U4"/>
    <mergeCell ref="A2:P2"/>
    <mergeCell ref="A35:D35"/>
    <mergeCell ref="A11:E11"/>
    <mergeCell ref="A33:E33"/>
    <mergeCell ref="K3:K4"/>
    <mergeCell ref="L3:L4"/>
    <mergeCell ref="F3:F4"/>
    <mergeCell ref="G3:G4"/>
  </mergeCells>
  <phoneticPr fontId="31" type="noConversion"/>
  <pageMargins left="0.25" right="0.25" top="0.75" bottom="0.75" header="0.3" footer="0.3"/>
  <pageSetup paperSize="9" scale="62" orientation="landscape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1" tint="4.9989318521683403E-2"/>
    <pageSetUpPr fitToPage="1"/>
  </sheetPr>
  <dimension ref="A1:N38"/>
  <sheetViews>
    <sheetView workbookViewId="0">
      <selection activeCell="M5" sqref="M5"/>
    </sheetView>
  </sheetViews>
  <sheetFormatPr defaultRowHeight="15"/>
  <cols>
    <col min="1" max="1" width="29.42578125" bestFit="1" customWidth="1"/>
    <col min="2" max="2" width="11.42578125" style="36" customWidth="1"/>
    <col min="3" max="3" width="10" customWidth="1"/>
    <col min="4" max="4" width="10" style="36" customWidth="1"/>
    <col min="5" max="5" width="9.42578125" customWidth="1"/>
    <col min="6" max="6" width="11.5703125" customWidth="1"/>
  </cols>
  <sheetData>
    <row r="1" spans="1:14">
      <c r="A1" s="20" t="s">
        <v>48</v>
      </c>
      <c r="B1" s="31"/>
      <c r="C1" s="2"/>
      <c r="D1" s="31"/>
      <c r="E1" s="2"/>
      <c r="F1" s="2"/>
      <c r="G1" s="4" t="s">
        <v>133</v>
      </c>
      <c r="H1" s="4"/>
      <c r="I1" s="2"/>
      <c r="J1" s="2"/>
      <c r="K1" s="2"/>
      <c r="L1" s="2"/>
      <c r="M1" s="2"/>
      <c r="N1" s="1"/>
    </row>
    <row r="2" spans="1:14">
      <c r="A2" s="1"/>
      <c r="B2" s="27" t="s">
        <v>1</v>
      </c>
      <c r="C2" s="27" t="s">
        <v>2</v>
      </c>
      <c r="D2" s="29" t="s">
        <v>3</v>
      </c>
      <c r="E2" s="27" t="s">
        <v>4</v>
      </c>
      <c r="F2" s="27" t="s">
        <v>5</v>
      </c>
      <c r="G2" s="28" t="s">
        <v>6</v>
      </c>
      <c r="H2" s="27" t="s">
        <v>7</v>
      </c>
      <c r="I2" s="28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 t="s">
        <v>18</v>
      </c>
    </row>
    <row r="3" spans="1:14">
      <c r="A3" s="2"/>
      <c r="B3" s="35"/>
      <c r="C3" s="9"/>
      <c r="D3" s="35"/>
      <c r="E3" s="11"/>
      <c r="F3" s="9"/>
      <c r="G3" s="11"/>
      <c r="H3" s="9"/>
      <c r="I3" s="11"/>
      <c r="J3" s="9"/>
      <c r="K3" s="9"/>
      <c r="L3" s="9"/>
      <c r="M3" s="9"/>
      <c r="N3" s="9"/>
    </row>
    <row r="4" spans="1:14">
      <c r="A4" s="2" t="s">
        <v>49</v>
      </c>
      <c r="B4" s="233">
        <v>9280</v>
      </c>
      <c r="C4" s="235">
        <v>6229</v>
      </c>
      <c r="D4" s="106"/>
      <c r="E4" s="197"/>
      <c r="F4" s="210"/>
      <c r="G4" s="211"/>
      <c r="H4" s="210"/>
      <c r="I4" s="211"/>
      <c r="J4" s="210"/>
      <c r="K4" s="210"/>
      <c r="L4" s="313">
        <v>8840</v>
      </c>
      <c r="M4" s="313">
        <v>8840</v>
      </c>
      <c r="N4" s="6">
        <f t="shared" ref="N4:N9" si="0">SUM(B4:M4)</f>
        <v>33189</v>
      </c>
    </row>
    <row r="5" spans="1:14">
      <c r="A5" s="2" t="s">
        <v>50</v>
      </c>
      <c r="B5" s="113"/>
      <c r="C5" s="228">
        <v>3750</v>
      </c>
      <c r="D5" s="113"/>
      <c r="E5" s="196"/>
      <c r="F5" s="228">
        <v>5000</v>
      </c>
      <c r="G5" s="196"/>
      <c r="H5" s="100"/>
      <c r="I5" s="274">
        <v>4215</v>
      </c>
      <c r="J5" s="100"/>
      <c r="K5" s="100"/>
      <c r="L5" s="322">
        <v>2000</v>
      </c>
      <c r="M5" s="225"/>
      <c r="N5" s="9">
        <f t="shared" si="0"/>
        <v>14965</v>
      </c>
    </row>
    <row r="6" spans="1:14">
      <c r="A6" s="5" t="s">
        <v>244</v>
      </c>
      <c r="B6" s="106"/>
      <c r="C6" s="210"/>
      <c r="D6" s="106"/>
      <c r="E6" s="211"/>
      <c r="F6" s="210"/>
      <c r="G6" s="211"/>
      <c r="H6" s="210"/>
      <c r="I6" s="273">
        <f>150+225</f>
        <v>375</v>
      </c>
      <c r="J6" s="210"/>
      <c r="K6" s="210"/>
      <c r="L6" s="224"/>
      <c r="M6" s="224"/>
      <c r="N6" s="6">
        <f t="shared" si="0"/>
        <v>375</v>
      </c>
    </row>
    <row r="7" spans="1:14">
      <c r="A7" s="5" t="s">
        <v>245</v>
      </c>
      <c r="B7" s="106"/>
      <c r="C7" s="210"/>
      <c r="D7" s="106"/>
      <c r="E7" s="211"/>
      <c r="F7" s="210"/>
      <c r="G7" s="211"/>
      <c r="H7" s="210"/>
      <c r="I7" s="273">
        <f>150+60+80</f>
        <v>290</v>
      </c>
      <c r="J7" s="210"/>
      <c r="K7" s="210"/>
      <c r="L7" s="224"/>
      <c r="M7" s="224"/>
      <c r="N7" s="6">
        <f t="shared" si="0"/>
        <v>290</v>
      </c>
    </row>
    <row r="8" spans="1:14">
      <c r="A8" s="2" t="s">
        <v>56</v>
      </c>
      <c r="B8" s="113"/>
      <c r="C8" s="228">
        <v>7580</v>
      </c>
      <c r="D8" s="113"/>
      <c r="E8" s="196"/>
      <c r="F8" s="100"/>
      <c r="G8" s="196"/>
      <c r="H8" s="100"/>
      <c r="I8" s="196"/>
      <c r="J8" s="100"/>
      <c r="K8" s="100"/>
      <c r="L8" s="225"/>
      <c r="M8" s="225"/>
      <c r="N8" s="9">
        <f t="shared" si="0"/>
        <v>7580</v>
      </c>
    </row>
    <row r="9" spans="1:14">
      <c r="A9" s="2" t="s">
        <v>237</v>
      </c>
      <c r="B9" s="113"/>
      <c r="C9" s="100"/>
      <c r="D9" s="113"/>
      <c r="E9" s="196"/>
      <c r="F9" s="100"/>
      <c r="G9" s="196"/>
      <c r="H9" s="100"/>
      <c r="I9" s="274">
        <v>1553</v>
      </c>
      <c r="J9" s="228">
        <f>250+650+20+690+66</f>
        <v>1676</v>
      </c>
      <c r="K9" s="100"/>
      <c r="L9" s="225"/>
      <c r="M9" s="225"/>
      <c r="N9" s="9">
        <f t="shared" si="0"/>
        <v>3229</v>
      </c>
    </row>
    <row r="10" spans="1:14">
      <c r="A10" s="2" t="s">
        <v>263</v>
      </c>
      <c r="B10" s="113"/>
      <c r="C10" s="100"/>
      <c r="D10" s="113"/>
      <c r="E10" s="196"/>
      <c r="F10" s="100"/>
      <c r="G10" s="196"/>
      <c r="H10" s="100"/>
      <c r="I10" s="196"/>
      <c r="J10" s="100"/>
      <c r="K10" s="228">
        <v>6000</v>
      </c>
      <c r="L10" s="225"/>
      <c r="M10" s="225"/>
      <c r="N10" s="11">
        <f t="shared" ref="N10:N34" si="1">SUM(B10:M10)</f>
        <v>6000</v>
      </c>
    </row>
    <row r="11" spans="1:14">
      <c r="A11" s="2" t="s">
        <v>121</v>
      </c>
      <c r="B11" s="230">
        <v>3780</v>
      </c>
      <c r="C11" s="100"/>
      <c r="D11" s="113"/>
      <c r="E11" s="65"/>
      <c r="F11" s="100"/>
      <c r="G11" s="274">
        <v>15000</v>
      </c>
      <c r="H11" s="228">
        <f>1600+3000+114+48+3600+180</f>
        <v>8542</v>
      </c>
      <c r="I11" s="274">
        <f>3920+3620+640</f>
        <v>8180</v>
      </c>
      <c r="J11" s="100"/>
      <c r="K11" s="100"/>
      <c r="L11" s="225"/>
      <c r="M11" s="225"/>
      <c r="N11" s="11">
        <f t="shared" si="1"/>
        <v>35502</v>
      </c>
    </row>
    <row r="12" spans="1:14">
      <c r="A12" s="2" t="s">
        <v>215</v>
      </c>
      <c r="B12" s="113"/>
      <c r="C12" s="100"/>
      <c r="D12" s="113"/>
      <c r="E12" s="196"/>
      <c r="F12" s="100"/>
      <c r="G12" s="196"/>
      <c r="H12" s="228">
        <v>295</v>
      </c>
      <c r="I12" s="196"/>
      <c r="J12" s="100"/>
      <c r="K12" s="100"/>
      <c r="L12" s="225"/>
      <c r="M12" s="225"/>
      <c r="N12" s="11">
        <f t="shared" si="1"/>
        <v>295</v>
      </c>
    </row>
    <row r="13" spans="1:14">
      <c r="A13" s="3" t="s">
        <v>198</v>
      </c>
      <c r="B13" s="106"/>
      <c r="C13" s="210"/>
      <c r="D13" s="106"/>
      <c r="E13" s="211"/>
      <c r="F13" s="210"/>
      <c r="G13" s="273">
        <v>9498</v>
      </c>
      <c r="H13" s="235">
        <v>18200</v>
      </c>
      <c r="I13" s="211"/>
      <c r="J13" s="210"/>
      <c r="K13" s="210"/>
      <c r="L13" s="224"/>
      <c r="M13" s="224"/>
      <c r="N13" s="11">
        <f t="shared" si="1"/>
        <v>27698</v>
      </c>
    </row>
    <row r="14" spans="1:14">
      <c r="A14" s="2" t="s">
        <v>199</v>
      </c>
      <c r="B14" s="113"/>
      <c r="C14" s="100"/>
      <c r="D14" s="113"/>
      <c r="E14" s="196"/>
      <c r="F14" s="100"/>
      <c r="G14" s="274">
        <f>160+840</f>
        <v>1000</v>
      </c>
      <c r="H14" s="100"/>
      <c r="I14" s="196"/>
      <c r="J14" s="100"/>
      <c r="K14" s="100"/>
      <c r="L14" s="225"/>
      <c r="M14" s="225"/>
      <c r="N14" s="11">
        <f t="shared" si="1"/>
        <v>1000</v>
      </c>
    </row>
    <row r="15" spans="1:14">
      <c r="A15" s="19" t="s">
        <v>216</v>
      </c>
      <c r="B15" s="113"/>
      <c r="C15" s="100"/>
      <c r="D15" s="113"/>
      <c r="E15" s="196"/>
      <c r="F15" s="100"/>
      <c r="G15" s="196"/>
      <c r="H15" s="228">
        <v>1398</v>
      </c>
      <c r="I15" s="196"/>
      <c r="J15" s="100"/>
      <c r="K15" s="100"/>
      <c r="L15" s="225"/>
      <c r="M15" s="225"/>
      <c r="N15" s="11">
        <f t="shared" si="1"/>
        <v>1398</v>
      </c>
    </row>
    <row r="16" spans="1:14">
      <c r="A16" s="19" t="s">
        <v>229</v>
      </c>
      <c r="B16" s="113"/>
      <c r="C16" s="100"/>
      <c r="D16" s="113"/>
      <c r="E16" s="196"/>
      <c r="F16" s="100"/>
      <c r="G16" s="196"/>
      <c r="H16" s="228">
        <v>612</v>
      </c>
      <c r="I16" s="196"/>
      <c r="J16" s="100"/>
      <c r="K16" s="100"/>
      <c r="L16" s="225"/>
      <c r="M16" s="225"/>
      <c r="N16" s="11">
        <f t="shared" si="1"/>
        <v>612</v>
      </c>
    </row>
    <row r="17" spans="1:14">
      <c r="A17" s="3" t="s">
        <v>224</v>
      </c>
      <c r="B17" s="106"/>
      <c r="C17" s="210"/>
      <c r="D17" s="106"/>
      <c r="E17" s="211"/>
      <c r="F17" s="210"/>
      <c r="G17" s="211"/>
      <c r="H17" s="235">
        <v>2310</v>
      </c>
      <c r="I17" s="211"/>
      <c r="J17" s="210"/>
      <c r="K17" s="210"/>
      <c r="L17" s="224"/>
      <c r="M17" s="224"/>
      <c r="N17" s="11">
        <f t="shared" si="1"/>
        <v>2310</v>
      </c>
    </row>
    <row r="18" spans="1:14">
      <c r="A18" s="2" t="s">
        <v>225</v>
      </c>
      <c r="B18" s="113"/>
      <c r="C18" s="100"/>
      <c r="D18" s="113"/>
      <c r="E18" s="196"/>
      <c r="F18" s="100"/>
      <c r="G18" s="196"/>
      <c r="H18" s="228">
        <v>900</v>
      </c>
      <c r="I18" s="196"/>
      <c r="J18" s="100"/>
      <c r="K18" s="100"/>
      <c r="L18" s="225"/>
      <c r="M18" s="225"/>
      <c r="N18" s="11">
        <f t="shared" si="1"/>
        <v>900</v>
      </c>
    </row>
    <row r="19" spans="1:14">
      <c r="A19" s="3" t="s">
        <v>226</v>
      </c>
      <c r="B19" s="106"/>
      <c r="C19" s="210"/>
      <c r="D19" s="106"/>
      <c r="E19" s="211"/>
      <c r="F19" s="210"/>
      <c r="G19" s="211"/>
      <c r="H19" s="235">
        <f>700+1400</f>
        <v>2100</v>
      </c>
      <c r="I19" s="211"/>
      <c r="J19" s="210"/>
      <c r="K19" s="210"/>
      <c r="L19" s="224"/>
      <c r="M19" s="224"/>
      <c r="N19" s="11">
        <f t="shared" si="1"/>
        <v>2100</v>
      </c>
    </row>
    <row r="20" spans="1:14">
      <c r="A20" s="2" t="s">
        <v>123</v>
      </c>
      <c r="B20" s="113"/>
      <c r="C20" s="100"/>
      <c r="D20" s="113"/>
      <c r="E20" s="228">
        <v>35</v>
      </c>
      <c r="F20" s="100"/>
      <c r="G20" s="196"/>
      <c r="H20" s="100"/>
      <c r="I20" s="196"/>
      <c r="J20" s="100"/>
      <c r="K20" s="100"/>
      <c r="L20" s="225"/>
      <c r="M20" s="225"/>
      <c r="N20" s="11">
        <f t="shared" si="1"/>
        <v>35</v>
      </c>
    </row>
    <row r="21" spans="1:14">
      <c r="A21" s="2" t="s">
        <v>124</v>
      </c>
      <c r="B21" s="113"/>
      <c r="C21" s="100"/>
      <c r="D21" s="113"/>
      <c r="E21" s="196"/>
      <c r="F21" s="100"/>
      <c r="G21" s="274">
        <v>10000</v>
      </c>
      <c r="H21" s="100"/>
      <c r="I21" s="196"/>
      <c r="J21" s="100"/>
      <c r="K21" s="100"/>
      <c r="L21" s="225"/>
      <c r="M21" s="225"/>
      <c r="N21" s="11">
        <f t="shared" si="1"/>
        <v>10000</v>
      </c>
    </row>
    <row r="22" spans="1:14">
      <c r="A22" s="11" t="s">
        <v>147</v>
      </c>
      <c r="B22" s="230">
        <v>9045</v>
      </c>
      <c r="C22" s="100"/>
      <c r="D22" s="113"/>
      <c r="E22" s="196"/>
      <c r="F22" s="100"/>
      <c r="G22" s="196"/>
      <c r="H22" s="100"/>
      <c r="I22" s="196"/>
      <c r="J22" s="100"/>
      <c r="K22" s="100"/>
      <c r="L22" s="225"/>
      <c r="M22" s="225"/>
      <c r="N22" s="11">
        <f t="shared" si="1"/>
        <v>9045</v>
      </c>
    </row>
    <row r="23" spans="1:14">
      <c r="A23" s="3" t="s">
        <v>164</v>
      </c>
      <c r="B23" s="106"/>
      <c r="C23" s="210"/>
      <c r="D23" s="106"/>
      <c r="E23" s="228">
        <v>16307.6</v>
      </c>
      <c r="F23" s="228">
        <v>16307.6</v>
      </c>
      <c r="G23" s="211"/>
      <c r="H23" s="210"/>
      <c r="I23" s="211"/>
      <c r="J23" s="210"/>
      <c r="K23" s="210"/>
      <c r="L23" s="224"/>
      <c r="M23" s="224"/>
      <c r="N23" s="11">
        <f t="shared" si="1"/>
        <v>32615.200000000001</v>
      </c>
    </row>
    <row r="24" spans="1:14">
      <c r="A24" s="5" t="s">
        <v>187</v>
      </c>
      <c r="B24" s="106"/>
      <c r="C24" s="210"/>
      <c r="D24" s="106"/>
      <c r="E24" s="100"/>
      <c r="F24" s="210"/>
      <c r="G24" s="273">
        <v>6000</v>
      </c>
      <c r="H24" s="210"/>
      <c r="I24" s="211"/>
      <c r="J24" s="210"/>
      <c r="K24" s="210"/>
      <c r="L24" s="224"/>
      <c r="M24" s="224"/>
      <c r="N24" s="11">
        <f t="shared" si="1"/>
        <v>6000</v>
      </c>
    </row>
    <row r="25" spans="1:14">
      <c r="A25" s="5" t="s">
        <v>235</v>
      </c>
      <c r="B25" s="106"/>
      <c r="C25" s="210"/>
      <c r="D25" s="106"/>
      <c r="E25" s="100"/>
      <c r="F25" s="210"/>
      <c r="G25" s="211"/>
      <c r="H25" s="210"/>
      <c r="I25" s="273">
        <v>3627</v>
      </c>
      <c r="J25" s="210"/>
      <c r="K25" s="210"/>
      <c r="L25" s="224"/>
      <c r="M25" s="224"/>
      <c r="N25" s="11">
        <f t="shared" si="1"/>
        <v>3627</v>
      </c>
    </row>
    <row r="26" spans="1:14">
      <c r="A26" s="5" t="s">
        <v>243</v>
      </c>
      <c r="B26" s="106"/>
      <c r="C26" s="210"/>
      <c r="D26" s="106"/>
      <c r="E26" s="100"/>
      <c r="F26" s="210"/>
      <c r="G26" s="211"/>
      <c r="H26" s="210"/>
      <c r="I26" s="273">
        <v>550</v>
      </c>
      <c r="J26" s="210"/>
      <c r="K26" s="210"/>
      <c r="L26" s="224"/>
      <c r="M26" s="224"/>
      <c r="N26" s="11">
        <f t="shared" si="1"/>
        <v>550</v>
      </c>
    </row>
    <row r="27" spans="1:14">
      <c r="A27" s="5" t="s">
        <v>282</v>
      </c>
      <c r="B27" s="106"/>
      <c r="C27" s="210"/>
      <c r="D27" s="106"/>
      <c r="E27" s="100"/>
      <c r="F27" s="210"/>
      <c r="G27" s="211"/>
      <c r="H27" s="210"/>
      <c r="I27" s="210"/>
      <c r="J27" s="210"/>
      <c r="K27" s="210"/>
      <c r="L27" s="313">
        <v>210</v>
      </c>
      <c r="M27" s="224"/>
      <c r="N27" s="11">
        <f t="shared" si="1"/>
        <v>210</v>
      </c>
    </row>
    <row r="28" spans="1:14">
      <c r="A28" s="5" t="s">
        <v>283</v>
      </c>
      <c r="B28" s="106"/>
      <c r="C28" s="210"/>
      <c r="D28" s="106"/>
      <c r="E28" s="100"/>
      <c r="F28" s="210"/>
      <c r="G28" s="211"/>
      <c r="H28" s="210"/>
      <c r="I28" s="210"/>
      <c r="J28" s="210"/>
      <c r="K28" s="210"/>
      <c r="L28" s="313">
        <v>240</v>
      </c>
      <c r="M28" s="224"/>
      <c r="N28" s="11">
        <f t="shared" si="1"/>
        <v>240</v>
      </c>
    </row>
    <row r="29" spans="1:14">
      <c r="A29" s="5" t="s">
        <v>284</v>
      </c>
      <c r="B29" s="106"/>
      <c r="C29" s="210"/>
      <c r="D29" s="106"/>
      <c r="E29" s="100"/>
      <c r="F29" s="210"/>
      <c r="G29" s="211"/>
      <c r="H29" s="210"/>
      <c r="I29" s="210"/>
      <c r="J29" s="210"/>
      <c r="K29" s="210"/>
      <c r="L29" s="313">
        <v>360</v>
      </c>
      <c r="M29" s="224"/>
      <c r="N29" s="11">
        <f t="shared" si="1"/>
        <v>360</v>
      </c>
    </row>
    <row r="30" spans="1:14">
      <c r="A30" s="5" t="s">
        <v>225</v>
      </c>
      <c r="B30" s="106"/>
      <c r="C30" s="210"/>
      <c r="D30" s="106"/>
      <c r="E30" s="100"/>
      <c r="F30" s="210"/>
      <c r="G30" s="211"/>
      <c r="H30" s="210"/>
      <c r="I30" s="210"/>
      <c r="J30" s="210"/>
      <c r="K30" s="210"/>
      <c r="L30" s="313">
        <v>230</v>
      </c>
      <c r="M30" s="224"/>
      <c r="N30" s="11">
        <f t="shared" si="1"/>
        <v>230</v>
      </c>
    </row>
    <row r="31" spans="1:14">
      <c r="A31" s="5" t="s">
        <v>281</v>
      </c>
      <c r="B31" s="106"/>
      <c r="C31" s="210"/>
      <c r="D31" s="106"/>
      <c r="E31" s="100"/>
      <c r="F31" s="210"/>
      <c r="G31" s="211"/>
      <c r="H31" s="210"/>
      <c r="I31" s="210"/>
      <c r="J31" s="210"/>
      <c r="K31" s="210"/>
      <c r="L31" s="313">
        <f>300+340+136</f>
        <v>776</v>
      </c>
      <c r="M31" s="224"/>
      <c r="N31" s="11">
        <f>SUM(B31:M31)</f>
        <v>776</v>
      </c>
    </row>
    <row r="32" spans="1:14">
      <c r="A32" s="5" t="s">
        <v>280</v>
      </c>
      <c r="B32" s="106"/>
      <c r="C32" s="210"/>
      <c r="D32" s="106"/>
      <c r="E32" s="100"/>
      <c r="F32" s="210"/>
      <c r="G32" s="211"/>
      <c r="H32" s="210"/>
      <c r="I32" s="210"/>
      <c r="J32" s="210"/>
      <c r="K32" s="210"/>
      <c r="L32" s="313">
        <v>780</v>
      </c>
      <c r="M32" s="224"/>
      <c r="N32" s="11">
        <f>SUM(B32:M32)</f>
        <v>780</v>
      </c>
    </row>
    <row r="33" spans="1:14">
      <c r="A33" s="5" t="s">
        <v>279</v>
      </c>
      <c r="B33" s="106"/>
      <c r="C33" s="210"/>
      <c r="D33" s="106"/>
      <c r="E33" s="100"/>
      <c r="F33" s="210"/>
      <c r="G33" s="211"/>
      <c r="H33" s="210"/>
      <c r="I33" s="210"/>
      <c r="J33" s="210"/>
      <c r="K33" s="210"/>
      <c r="L33" s="313">
        <v>320</v>
      </c>
      <c r="M33" s="224"/>
      <c r="N33" s="11">
        <f>SUM(B33:M33)</f>
        <v>320</v>
      </c>
    </row>
    <row r="34" spans="1:14">
      <c r="A34" s="5" t="s">
        <v>182</v>
      </c>
      <c r="B34" s="106"/>
      <c r="C34" s="210"/>
      <c r="D34" s="106"/>
      <c r="E34" s="228">
        <f>4896+7134.42</f>
        <v>12030.42</v>
      </c>
      <c r="F34" s="210"/>
      <c r="G34" s="211"/>
      <c r="H34" s="210"/>
      <c r="I34" s="273">
        <f>835.6+859.8</f>
        <v>1695.4</v>
      </c>
      <c r="J34" s="235">
        <v>1230</v>
      </c>
      <c r="K34" s="210"/>
      <c r="L34" s="313">
        <f>4100+4100</f>
        <v>8200</v>
      </c>
      <c r="M34" s="313">
        <f>1470+1233+822</f>
        <v>3525</v>
      </c>
      <c r="N34" s="11">
        <f t="shared" si="1"/>
        <v>26680.82</v>
      </c>
    </row>
    <row r="35" spans="1:14">
      <c r="A35" s="4" t="s">
        <v>18</v>
      </c>
      <c r="B35" s="291">
        <f t="shared" ref="B35:N35" si="2">SUM(B4:B34)</f>
        <v>22105</v>
      </c>
      <c r="C35" s="291">
        <f t="shared" si="2"/>
        <v>17559</v>
      </c>
      <c r="D35" s="291">
        <f t="shared" si="2"/>
        <v>0</v>
      </c>
      <c r="E35" s="291">
        <f t="shared" si="2"/>
        <v>28373.02</v>
      </c>
      <c r="F35" s="291">
        <f t="shared" si="2"/>
        <v>21307.599999999999</v>
      </c>
      <c r="G35" s="291">
        <f t="shared" si="2"/>
        <v>41498</v>
      </c>
      <c r="H35" s="291">
        <f t="shared" si="2"/>
        <v>34357</v>
      </c>
      <c r="I35" s="291">
        <f t="shared" si="2"/>
        <v>20485.400000000001</v>
      </c>
      <c r="J35" s="291">
        <f t="shared" si="2"/>
        <v>2906</v>
      </c>
      <c r="K35" s="291">
        <f t="shared" si="2"/>
        <v>6000</v>
      </c>
      <c r="L35" s="291">
        <f t="shared" si="2"/>
        <v>21956</v>
      </c>
      <c r="M35" s="291">
        <f t="shared" si="2"/>
        <v>12365</v>
      </c>
      <c r="N35" s="297">
        <f t="shared" si="2"/>
        <v>228912.02000000002</v>
      </c>
    </row>
    <row r="37" spans="1:14">
      <c r="N37" s="315">
        <f>SUM(B35:M35)-N35</f>
        <v>0</v>
      </c>
    </row>
    <row r="38" spans="1:14">
      <c r="G38" s="212"/>
      <c r="H38" s="212"/>
    </row>
  </sheetData>
  <phoneticPr fontId="31" type="noConversion"/>
  <pageMargins left="0.25" right="0.25" top="0.75" bottom="0.75" header="0.3" footer="0.3"/>
  <pageSetup paperSize="9" scale="9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1" tint="0.34998626667073579"/>
    <pageSetUpPr fitToPage="1"/>
  </sheetPr>
  <dimension ref="A1:N9"/>
  <sheetViews>
    <sheetView workbookViewId="0">
      <selection activeCell="N9" sqref="N9"/>
    </sheetView>
  </sheetViews>
  <sheetFormatPr defaultRowHeight="15"/>
  <cols>
    <col min="1" max="1" width="23.28515625" bestFit="1" customWidth="1"/>
  </cols>
  <sheetData>
    <row r="1" spans="1:14">
      <c r="A1" s="20" t="s">
        <v>132</v>
      </c>
      <c r="B1" s="2"/>
      <c r="C1" s="2"/>
      <c r="D1" s="2"/>
      <c r="E1" s="2"/>
      <c r="F1" s="4" t="s">
        <v>133</v>
      </c>
      <c r="G1" s="4"/>
      <c r="H1" s="2"/>
      <c r="I1" s="2"/>
      <c r="J1" s="2"/>
      <c r="K1" s="2"/>
      <c r="L1" s="2"/>
      <c r="M1" s="2"/>
      <c r="N1" s="1"/>
    </row>
    <row r="2" spans="1:14">
      <c r="A2" s="1"/>
      <c r="B2" s="27" t="s">
        <v>1</v>
      </c>
      <c r="C2" s="27" t="s">
        <v>2</v>
      </c>
      <c r="D2" s="27" t="s">
        <v>3</v>
      </c>
      <c r="E2" s="28" t="s">
        <v>4</v>
      </c>
      <c r="F2" s="27" t="s">
        <v>5</v>
      </c>
      <c r="G2" s="28" t="s">
        <v>6</v>
      </c>
      <c r="H2" s="27" t="s">
        <v>7</v>
      </c>
      <c r="I2" s="28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 t="s">
        <v>18</v>
      </c>
    </row>
    <row r="3" spans="1:14">
      <c r="A3" s="2"/>
      <c r="B3" s="35"/>
      <c r="C3" s="35"/>
      <c r="D3" s="35"/>
      <c r="E3" s="34"/>
      <c r="F3" s="35"/>
      <c r="G3" s="34"/>
      <c r="H3" s="35"/>
      <c r="I3" s="34"/>
      <c r="J3" s="35"/>
      <c r="K3" s="35"/>
      <c r="L3" s="35"/>
      <c r="M3" s="35"/>
      <c r="N3" s="35"/>
    </row>
    <row r="4" spans="1:14">
      <c r="A4" s="1" t="s">
        <v>148</v>
      </c>
      <c r="B4" s="14"/>
      <c r="C4" s="14"/>
      <c r="D4" s="229">
        <v>397805</v>
      </c>
      <c r="E4" s="12"/>
      <c r="F4" s="14"/>
      <c r="G4" s="12"/>
      <c r="H4" s="14"/>
      <c r="I4" s="12"/>
      <c r="J4" s="14"/>
      <c r="K4" s="14"/>
      <c r="L4" s="16"/>
      <c r="M4" s="16"/>
      <c r="N4" s="9">
        <f>SUM(B4:M4)</f>
        <v>397805</v>
      </c>
    </row>
    <row r="5" spans="1:14">
      <c r="A5" s="262" t="s">
        <v>149</v>
      </c>
      <c r="B5" s="100"/>
      <c r="C5" s="234"/>
      <c r="D5" s="100"/>
      <c r="E5" s="114"/>
      <c r="F5" s="100"/>
      <c r="G5" s="196"/>
      <c r="H5" s="100"/>
      <c r="I5" s="11"/>
      <c r="J5" s="9"/>
      <c r="K5" s="9"/>
      <c r="L5" s="8"/>
      <c r="M5" s="8"/>
      <c r="N5" s="9">
        <f>SUM(B5:M5)</f>
        <v>0</v>
      </c>
    </row>
    <row r="6" spans="1:14">
      <c r="A6" s="1"/>
      <c r="B6" s="14"/>
      <c r="C6" s="14"/>
      <c r="D6" s="14"/>
      <c r="E6" s="14"/>
      <c r="F6" s="14"/>
      <c r="G6" s="12"/>
      <c r="H6" s="14"/>
      <c r="I6" s="12"/>
      <c r="J6" s="14"/>
      <c r="K6" s="14"/>
      <c r="L6" s="16"/>
      <c r="M6" s="16"/>
      <c r="N6" s="14">
        <f>SUM(B6:M6)</f>
        <v>0</v>
      </c>
    </row>
    <row r="7" spans="1:14">
      <c r="A7" s="4" t="s">
        <v>18</v>
      </c>
      <c r="B7" s="296">
        <f t="shared" ref="B7:M7" si="0">SUM(B4:B6)</f>
        <v>0</v>
      </c>
      <c r="C7" s="296">
        <f t="shared" si="0"/>
        <v>0</v>
      </c>
      <c r="D7" s="296">
        <f t="shared" si="0"/>
        <v>397805</v>
      </c>
      <c r="E7" s="296">
        <f t="shared" si="0"/>
        <v>0</v>
      </c>
      <c r="F7" s="296">
        <f t="shared" si="0"/>
        <v>0</v>
      </c>
      <c r="G7" s="296">
        <f t="shared" si="0"/>
        <v>0</v>
      </c>
      <c r="H7" s="296">
        <f t="shared" si="0"/>
        <v>0</v>
      </c>
      <c r="I7" s="296">
        <f t="shared" si="0"/>
        <v>0</v>
      </c>
      <c r="J7" s="296">
        <f t="shared" si="0"/>
        <v>0</v>
      </c>
      <c r="K7" s="296">
        <f t="shared" si="0"/>
        <v>0</v>
      </c>
      <c r="L7" s="296">
        <f t="shared" si="0"/>
        <v>0</v>
      </c>
      <c r="M7" s="296">
        <f t="shared" si="0"/>
        <v>0</v>
      </c>
      <c r="N7" s="235">
        <f>SUM(B7:M7)</f>
        <v>397805</v>
      </c>
    </row>
    <row r="9" spans="1:14">
      <c r="N9" s="315">
        <f>SUM(B7:M7)-N7</f>
        <v>0</v>
      </c>
    </row>
  </sheetData>
  <phoneticPr fontId="31" type="noConversion"/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N30"/>
  <sheetViews>
    <sheetView workbookViewId="0">
      <selection activeCell="M23" sqref="M23"/>
    </sheetView>
  </sheetViews>
  <sheetFormatPr defaultRowHeight="15"/>
  <cols>
    <col min="1" max="1" width="29.85546875" bestFit="1" customWidth="1"/>
    <col min="2" max="2" width="10.28515625" style="36" customWidth="1"/>
    <col min="3" max="3" width="10.5703125" style="36" customWidth="1"/>
    <col min="4" max="4" width="12" style="36" customWidth="1"/>
    <col min="5" max="5" width="10.5703125" style="36" customWidth="1"/>
    <col min="6" max="14" width="9.140625" style="36"/>
  </cols>
  <sheetData>
    <row r="1" spans="1:14">
      <c r="A1" s="20" t="s">
        <v>51</v>
      </c>
      <c r="B1" s="31"/>
      <c r="C1" s="31"/>
      <c r="D1" s="31"/>
      <c r="E1" s="31"/>
      <c r="F1" s="33" t="s">
        <v>133</v>
      </c>
      <c r="G1" s="33"/>
      <c r="H1" s="31"/>
      <c r="I1" s="31"/>
      <c r="J1" s="31"/>
      <c r="K1" s="31"/>
      <c r="L1" s="31"/>
      <c r="M1" s="31"/>
      <c r="N1" s="29"/>
    </row>
    <row r="2" spans="1:14">
      <c r="A2" s="1"/>
      <c r="B2" s="27" t="s">
        <v>1</v>
      </c>
      <c r="C2" s="27" t="s">
        <v>2</v>
      </c>
      <c r="D2" s="27" t="s">
        <v>3</v>
      </c>
      <c r="E2" s="28" t="s">
        <v>4</v>
      </c>
      <c r="F2" s="27" t="s">
        <v>5</v>
      </c>
      <c r="G2" s="28" t="s">
        <v>6</v>
      </c>
      <c r="H2" s="27" t="s">
        <v>7</v>
      </c>
      <c r="I2" s="28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/>
    </row>
    <row r="3" spans="1:14">
      <c r="A3" s="2" t="s">
        <v>52</v>
      </c>
      <c r="B3" s="233">
        <v>13062</v>
      </c>
      <c r="C3" s="233">
        <v>6981</v>
      </c>
      <c r="D3" s="233">
        <v>6195</v>
      </c>
      <c r="E3" s="106"/>
      <c r="F3" s="230">
        <v>825.6</v>
      </c>
      <c r="G3" s="114"/>
      <c r="H3" s="113"/>
      <c r="I3" s="114"/>
      <c r="J3" s="35"/>
      <c r="K3" s="35"/>
      <c r="L3" s="39"/>
      <c r="M3" s="39"/>
      <c r="N3" s="35">
        <f t="shared" ref="N3:N27" si="0">SUM(B3:M3)</f>
        <v>27063.599999999999</v>
      </c>
    </row>
    <row r="4" spans="1:14">
      <c r="A4" s="2" t="s">
        <v>183</v>
      </c>
      <c r="B4" s="113"/>
      <c r="C4" s="113"/>
      <c r="D4" s="113"/>
      <c r="E4" s="230">
        <v>4314</v>
      </c>
      <c r="F4" s="230">
        <v>2760</v>
      </c>
      <c r="G4" s="114"/>
      <c r="H4" s="230">
        <v>2025</v>
      </c>
      <c r="I4" s="269">
        <f>2079+2079</f>
        <v>4158</v>
      </c>
      <c r="J4" s="230">
        <v>2079</v>
      </c>
      <c r="K4" s="230">
        <v>4158</v>
      </c>
      <c r="L4" s="320">
        <v>2079</v>
      </c>
      <c r="M4" s="320">
        <v>2315</v>
      </c>
      <c r="N4" s="35">
        <f t="shared" si="0"/>
        <v>23888</v>
      </c>
    </row>
    <row r="5" spans="1:14">
      <c r="A5" s="2" t="s">
        <v>241</v>
      </c>
      <c r="B5" s="113"/>
      <c r="C5" s="113"/>
      <c r="D5" s="113"/>
      <c r="E5" s="114"/>
      <c r="F5" s="113"/>
      <c r="G5" s="114"/>
      <c r="H5" s="113"/>
      <c r="I5" s="269">
        <v>9240</v>
      </c>
      <c r="J5" s="230">
        <f>9240+9240</f>
        <v>18480</v>
      </c>
      <c r="K5" s="230">
        <f>9240+9240</f>
        <v>18480</v>
      </c>
      <c r="L5" s="39"/>
      <c r="M5" s="39"/>
      <c r="N5" s="35">
        <f t="shared" si="0"/>
        <v>46200</v>
      </c>
    </row>
    <row r="6" spans="1:14">
      <c r="A6" s="267" t="s">
        <v>217</v>
      </c>
      <c r="B6" s="113"/>
      <c r="C6" s="113"/>
      <c r="D6" s="113"/>
      <c r="E6" s="114"/>
      <c r="F6" s="113"/>
      <c r="G6" s="114"/>
      <c r="H6" s="230">
        <v>1304</v>
      </c>
      <c r="I6" s="114"/>
      <c r="J6" s="35"/>
      <c r="K6" s="35"/>
      <c r="L6" s="39"/>
      <c r="M6" s="39"/>
      <c r="N6" s="35">
        <f t="shared" si="0"/>
        <v>1304</v>
      </c>
    </row>
    <row r="7" spans="1:14">
      <c r="A7" s="268" t="s">
        <v>269</v>
      </c>
      <c r="B7" s="113"/>
      <c r="C7" s="113"/>
      <c r="D7" s="113"/>
      <c r="E7" s="114"/>
      <c r="F7" s="114"/>
      <c r="G7" s="114"/>
      <c r="H7" s="113"/>
      <c r="I7" s="114"/>
      <c r="J7" s="35"/>
      <c r="K7" s="230">
        <v>930</v>
      </c>
      <c r="L7" s="39"/>
      <c r="M7" s="39"/>
      <c r="N7" s="35">
        <f t="shared" si="0"/>
        <v>930</v>
      </c>
    </row>
    <row r="8" spans="1:14">
      <c r="A8" s="268" t="s">
        <v>286</v>
      </c>
      <c r="B8" s="113"/>
      <c r="C8" s="113"/>
      <c r="D8" s="113"/>
      <c r="E8" s="114"/>
      <c r="F8" s="114"/>
      <c r="G8" s="114"/>
      <c r="H8" s="113"/>
      <c r="I8" s="114"/>
      <c r="J8" s="35"/>
      <c r="K8" s="35"/>
      <c r="L8" s="320">
        <v>192</v>
      </c>
      <c r="M8" s="39"/>
      <c r="N8" s="35">
        <f t="shared" si="0"/>
        <v>192</v>
      </c>
    </row>
    <row r="9" spans="1:14">
      <c r="A9" s="268" t="s">
        <v>287</v>
      </c>
      <c r="B9" s="113"/>
      <c r="C9" s="113"/>
      <c r="D9" s="113"/>
      <c r="E9" s="114"/>
      <c r="F9" s="114"/>
      <c r="G9" s="114"/>
      <c r="H9" s="113"/>
      <c r="I9" s="114"/>
      <c r="J9" s="35"/>
      <c r="K9" s="35"/>
      <c r="L9" s="320">
        <f>345+480</f>
        <v>825</v>
      </c>
      <c r="M9" s="39"/>
      <c r="N9" s="35">
        <f t="shared" si="0"/>
        <v>825</v>
      </c>
    </row>
    <row r="10" spans="1:14">
      <c r="A10" s="268" t="s">
        <v>276</v>
      </c>
      <c r="B10" s="113"/>
      <c r="C10" s="113"/>
      <c r="D10" s="113"/>
      <c r="E10" s="114"/>
      <c r="F10" s="114"/>
      <c r="G10" s="114"/>
      <c r="H10" s="113"/>
      <c r="I10" s="114"/>
      <c r="J10" s="35"/>
      <c r="K10" s="35"/>
      <c r="L10" s="320">
        <v>2100</v>
      </c>
      <c r="M10" s="39"/>
      <c r="N10" s="35">
        <f t="shared" si="0"/>
        <v>2100</v>
      </c>
    </row>
    <row r="11" spans="1:14">
      <c r="A11" s="268" t="s">
        <v>288</v>
      </c>
      <c r="B11" s="113"/>
      <c r="C11" s="113"/>
      <c r="D11" s="113"/>
      <c r="E11" s="114"/>
      <c r="F11" s="114"/>
      <c r="G11" s="114"/>
      <c r="H11" s="113"/>
      <c r="I11" s="114"/>
      <c r="J11" s="35"/>
      <c r="K11" s="35"/>
      <c r="L11" s="320">
        <v>590</v>
      </c>
      <c r="M11" s="39"/>
      <c r="N11" s="35">
        <f t="shared" si="0"/>
        <v>590</v>
      </c>
    </row>
    <row r="12" spans="1:14">
      <c r="A12" s="268" t="s">
        <v>289</v>
      </c>
      <c r="B12" s="113"/>
      <c r="C12" s="113"/>
      <c r="D12" s="113"/>
      <c r="E12" s="114"/>
      <c r="F12" s="114"/>
      <c r="G12" s="114"/>
      <c r="H12" s="113"/>
      <c r="I12" s="114"/>
      <c r="J12" s="35"/>
      <c r="K12" s="35"/>
      <c r="L12" s="320">
        <v>900</v>
      </c>
      <c r="M12" s="39"/>
      <c r="N12" s="35">
        <f t="shared" si="0"/>
        <v>900</v>
      </c>
    </row>
    <row r="13" spans="1:14">
      <c r="A13" s="268" t="s">
        <v>290</v>
      </c>
      <c r="B13" s="113"/>
      <c r="C13" s="113"/>
      <c r="D13" s="113"/>
      <c r="E13" s="114"/>
      <c r="F13" s="114"/>
      <c r="G13" s="114"/>
      <c r="H13" s="113"/>
      <c r="I13" s="114"/>
      <c r="J13" s="35"/>
      <c r="K13" s="35"/>
      <c r="L13" s="320">
        <f>315+220</f>
        <v>535</v>
      </c>
      <c r="M13" s="39"/>
      <c r="N13" s="35">
        <f t="shared" si="0"/>
        <v>535</v>
      </c>
    </row>
    <row r="14" spans="1:14">
      <c r="A14" s="268" t="s">
        <v>291</v>
      </c>
      <c r="B14" s="113"/>
      <c r="C14" s="113"/>
      <c r="D14" s="113"/>
      <c r="E14" s="114"/>
      <c r="F14" s="114"/>
      <c r="G14" s="114"/>
      <c r="H14" s="113"/>
      <c r="I14" s="114"/>
      <c r="J14" s="35"/>
      <c r="K14" s="35"/>
      <c r="L14" s="320">
        <v>315</v>
      </c>
      <c r="M14" s="39"/>
      <c r="N14" s="35">
        <f t="shared" si="0"/>
        <v>315</v>
      </c>
    </row>
    <row r="15" spans="1:14">
      <c r="A15" s="268" t="s">
        <v>292</v>
      </c>
      <c r="B15" s="113"/>
      <c r="C15" s="113"/>
      <c r="D15" s="113"/>
      <c r="E15" s="114"/>
      <c r="F15" s="114"/>
      <c r="G15" s="114"/>
      <c r="H15" s="113"/>
      <c r="I15" s="114"/>
      <c r="J15" s="35"/>
      <c r="K15" s="35"/>
      <c r="L15" s="320">
        <v>330</v>
      </c>
      <c r="M15" s="39"/>
      <c r="N15" s="35">
        <f t="shared" si="0"/>
        <v>330</v>
      </c>
    </row>
    <row r="16" spans="1:14">
      <c r="A16" s="268" t="s">
        <v>281</v>
      </c>
      <c r="B16" s="113"/>
      <c r="C16" s="113"/>
      <c r="D16" s="113"/>
      <c r="E16" s="114"/>
      <c r="F16" s="114"/>
      <c r="G16" s="114"/>
      <c r="H16" s="113"/>
      <c r="I16" s="114"/>
      <c r="J16" s="35"/>
      <c r="K16" s="35"/>
      <c r="L16" s="320">
        <v>750</v>
      </c>
      <c r="M16" s="39"/>
      <c r="N16" s="35">
        <f t="shared" si="0"/>
        <v>750</v>
      </c>
    </row>
    <row r="17" spans="1:14">
      <c r="A17" s="268" t="s">
        <v>293</v>
      </c>
      <c r="B17" s="113"/>
      <c r="C17" s="113"/>
      <c r="D17" s="113"/>
      <c r="E17" s="114"/>
      <c r="F17" s="114"/>
      <c r="G17" s="114"/>
      <c r="H17" s="113"/>
      <c r="I17" s="114"/>
      <c r="J17" s="35"/>
      <c r="K17" s="35"/>
      <c r="L17" s="320">
        <v>920</v>
      </c>
      <c r="M17" s="39"/>
      <c r="N17" s="35">
        <f t="shared" si="0"/>
        <v>920</v>
      </c>
    </row>
    <row r="18" spans="1:14">
      <c r="A18" s="268" t="s">
        <v>299</v>
      </c>
      <c r="B18" s="113"/>
      <c r="C18" s="113"/>
      <c r="D18" s="113"/>
      <c r="E18" s="114"/>
      <c r="F18" s="114"/>
      <c r="G18" s="114"/>
      <c r="H18" s="113"/>
      <c r="I18" s="114"/>
      <c r="J18" s="35"/>
      <c r="K18" s="35"/>
      <c r="L18" s="320">
        <v>16740</v>
      </c>
      <c r="M18" s="39"/>
      <c r="N18" s="35">
        <f t="shared" si="0"/>
        <v>16740</v>
      </c>
    </row>
    <row r="19" spans="1:14">
      <c r="A19" s="268" t="s">
        <v>303</v>
      </c>
      <c r="B19" s="113"/>
      <c r="C19" s="113"/>
      <c r="D19" s="113"/>
      <c r="E19" s="114"/>
      <c r="F19" s="114"/>
      <c r="G19" s="114"/>
      <c r="H19" s="113"/>
      <c r="I19" s="114"/>
      <c r="J19" s="35"/>
      <c r="K19" s="35"/>
      <c r="L19" s="320">
        <v>4200</v>
      </c>
      <c r="M19" s="39"/>
      <c r="N19" s="35">
        <f t="shared" si="0"/>
        <v>4200</v>
      </c>
    </row>
    <row r="20" spans="1:14">
      <c r="A20" s="268" t="s">
        <v>308</v>
      </c>
      <c r="B20" s="113"/>
      <c r="C20" s="113"/>
      <c r="D20" s="113"/>
      <c r="E20" s="114"/>
      <c r="F20" s="114"/>
      <c r="G20" s="114"/>
      <c r="H20" s="113"/>
      <c r="I20" s="114"/>
      <c r="J20" s="35"/>
      <c r="K20" s="35"/>
      <c r="L20" s="320">
        <v>16500</v>
      </c>
      <c r="M20" s="39"/>
      <c r="N20" s="35">
        <f t="shared" si="0"/>
        <v>16500</v>
      </c>
    </row>
    <row r="21" spans="1:14">
      <c r="A21" s="268" t="s">
        <v>311</v>
      </c>
      <c r="B21" s="113"/>
      <c r="C21" s="113"/>
      <c r="D21" s="113"/>
      <c r="E21" s="114"/>
      <c r="F21" s="114"/>
      <c r="G21" s="114"/>
      <c r="H21" s="113"/>
      <c r="I21" s="114"/>
      <c r="J21" s="35"/>
      <c r="K21" s="35"/>
      <c r="L21" s="320">
        <v>22644</v>
      </c>
      <c r="M21" s="39"/>
      <c r="N21" s="35">
        <f t="shared" si="0"/>
        <v>22644</v>
      </c>
    </row>
    <row r="22" spans="1:14">
      <c r="A22" s="268" t="s">
        <v>320</v>
      </c>
      <c r="B22" s="113"/>
      <c r="C22" s="113"/>
      <c r="D22" s="113"/>
      <c r="E22" s="114"/>
      <c r="F22" s="114"/>
      <c r="G22" s="114"/>
      <c r="H22" s="113"/>
      <c r="I22" s="114"/>
      <c r="J22" s="35"/>
      <c r="K22" s="35"/>
      <c r="L22" s="35"/>
      <c r="M22" s="320">
        <v>2625</v>
      </c>
      <c r="N22" s="35">
        <f t="shared" si="0"/>
        <v>2625</v>
      </c>
    </row>
    <row r="23" spans="1:14">
      <c r="A23" s="266"/>
      <c r="B23" s="233">
        <v>30535</v>
      </c>
      <c r="C23" s="233">
        <v>17124</v>
      </c>
      <c r="D23" s="233">
        <v>4574</v>
      </c>
      <c r="E23" s="197"/>
      <c r="F23" s="106"/>
      <c r="G23" s="197"/>
      <c r="H23" s="106"/>
      <c r="I23" s="197"/>
      <c r="J23" s="41"/>
      <c r="K23" s="41"/>
      <c r="L23" s="42"/>
      <c r="M23" s="42"/>
      <c r="N23" s="35">
        <f t="shared" si="0"/>
        <v>52233</v>
      </c>
    </row>
    <row r="24" spans="1:14">
      <c r="A24" s="5" t="s">
        <v>316</v>
      </c>
      <c r="B24" s="106"/>
      <c r="C24" s="106"/>
      <c r="D24" s="106"/>
      <c r="E24" s="197"/>
      <c r="F24" s="233">
        <v>85000</v>
      </c>
      <c r="G24" s="197"/>
      <c r="H24" s="106"/>
      <c r="I24" s="197"/>
      <c r="J24" s="41"/>
      <c r="K24" s="41"/>
      <c r="L24" s="42"/>
      <c r="M24" s="42"/>
      <c r="N24" s="35">
        <f t="shared" si="0"/>
        <v>85000</v>
      </c>
    </row>
    <row r="25" spans="1:14">
      <c r="A25" s="7" t="s">
        <v>167</v>
      </c>
      <c r="B25" s="106"/>
      <c r="C25" s="106"/>
      <c r="D25" s="106"/>
      <c r="E25" s="233">
        <v>141420</v>
      </c>
      <c r="F25" s="106"/>
      <c r="G25" s="106"/>
      <c r="H25" s="106"/>
      <c r="I25" s="106"/>
      <c r="J25" s="41"/>
      <c r="K25" s="41"/>
      <c r="L25" s="42"/>
      <c r="M25" s="42"/>
      <c r="N25" s="35">
        <f t="shared" si="0"/>
        <v>141420</v>
      </c>
    </row>
    <row r="26" spans="1:14">
      <c r="A26" s="7" t="s">
        <v>285</v>
      </c>
      <c r="B26" s="106"/>
      <c r="C26" s="106"/>
      <c r="D26" s="106"/>
      <c r="E26" s="106"/>
      <c r="F26" s="233">
        <v>842</v>
      </c>
      <c r="G26" s="106"/>
      <c r="H26" s="106"/>
      <c r="I26" s="106"/>
      <c r="J26" s="41"/>
      <c r="K26" s="41"/>
      <c r="L26" s="42"/>
      <c r="M26" s="42"/>
      <c r="N26" s="35">
        <f t="shared" si="0"/>
        <v>842</v>
      </c>
    </row>
    <row r="27" spans="1:14">
      <c r="A27" s="7" t="s">
        <v>175</v>
      </c>
      <c r="B27" s="106"/>
      <c r="C27" s="106"/>
      <c r="D27" s="106"/>
      <c r="E27" s="106"/>
      <c r="F27" s="233">
        <v>2000</v>
      </c>
      <c r="G27" s="106"/>
      <c r="H27" s="106"/>
      <c r="I27" s="106"/>
      <c r="J27" s="41"/>
      <c r="K27" s="41"/>
      <c r="L27" s="42"/>
      <c r="M27" s="42"/>
      <c r="N27" s="35">
        <f t="shared" si="0"/>
        <v>2000</v>
      </c>
    </row>
    <row r="28" spans="1:14">
      <c r="A28" s="4" t="s">
        <v>18</v>
      </c>
      <c r="B28" s="293">
        <f t="shared" ref="B28:N28" si="1">SUM(B3:B27)</f>
        <v>43597</v>
      </c>
      <c r="C28" s="293">
        <f t="shared" si="1"/>
        <v>24105</v>
      </c>
      <c r="D28" s="293">
        <f t="shared" si="1"/>
        <v>10769</v>
      </c>
      <c r="E28" s="293">
        <f t="shared" si="1"/>
        <v>145734</v>
      </c>
      <c r="F28" s="293">
        <f t="shared" si="1"/>
        <v>91427.6</v>
      </c>
      <c r="G28" s="293">
        <f t="shared" si="1"/>
        <v>0</v>
      </c>
      <c r="H28" s="293">
        <f t="shared" si="1"/>
        <v>3329</v>
      </c>
      <c r="I28" s="293">
        <f t="shared" si="1"/>
        <v>13398</v>
      </c>
      <c r="J28" s="293">
        <f t="shared" si="1"/>
        <v>20559</v>
      </c>
      <c r="K28" s="293">
        <f t="shared" si="1"/>
        <v>23568</v>
      </c>
      <c r="L28" s="293">
        <f t="shared" si="1"/>
        <v>69620</v>
      </c>
      <c r="M28" s="293">
        <f t="shared" si="1"/>
        <v>4940</v>
      </c>
      <c r="N28" s="293">
        <f t="shared" si="1"/>
        <v>451046.6</v>
      </c>
    </row>
    <row r="30" spans="1:14">
      <c r="N30" s="315">
        <f>SUM(B28:M28)-N28</f>
        <v>0</v>
      </c>
    </row>
  </sheetData>
  <phoneticPr fontId="31" type="noConversion"/>
  <pageMargins left="0.25" right="0.25" top="0.75" bottom="0.75" header="0.3" footer="0.3"/>
  <pageSetup paperSize="9" scale="8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29"/>
  <sheetViews>
    <sheetView tabSelected="1" workbookViewId="0">
      <selection activeCell="R25" sqref="R25"/>
    </sheetView>
  </sheetViews>
  <sheetFormatPr defaultRowHeight="15"/>
  <cols>
    <col min="1" max="1" width="30.42578125" bestFit="1" customWidth="1"/>
    <col min="2" max="2" width="9.7109375" customWidth="1"/>
    <col min="3" max="3" width="8.140625" customWidth="1"/>
    <col min="4" max="4" width="9.28515625" customWidth="1"/>
    <col min="5" max="5" width="11.42578125" customWidth="1"/>
    <col min="6" max="6" width="8.42578125" customWidth="1"/>
  </cols>
  <sheetData>
    <row r="1" spans="1:14">
      <c r="A1" s="20" t="s">
        <v>53</v>
      </c>
      <c r="B1" s="2"/>
      <c r="C1" s="2"/>
      <c r="D1" s="2"/>
      <c r="E1" s="2"/>
      <c r="F1" s="4" t="s">
        <v>133</v>
      </c>
      <c r="G1" s="4"/>
      <c r="H1" s="2"/>
      <c r="I1" s="2"/>
      <c r="J1" s="2"/>
      <c r="K1" s="2"/>
      <c r="L1" s="2"/>
      <c r="M1" s="2"/>
      <c r="N1" s="1"/>
    </row>
    <row r="2" spans="1:14">
      <c r="A2" s="1"/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13" t="s">
        <v>7</v>
      </c>
      <c r="I2" s="10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/>
    </row>
    <row r="3" spans="1:14">
      <c r="A3" s="65" t="s">
        <v>121</v>
      </c>
      <c r="B3" s="21"/>
      <c r="C3" s="21"/>
      <c r="D3" s="7"/>
      <c r="E3" s="235">
        <f>4000+75960</f>
        <v>79960</v>
      </c>
      <c r="F3" s="7"/>
      <c r="G3" s="316"/>
      <c r="H3" s="13"/>
      <c r="I3" s="10"/>
      <c r="J3" s="13"/>
      <c r="K3" s="13"/>
      <c r="L3" s="13"/>
      <c r="M3" s="13"/>
      <c r="N3" s="7">
        <f t="shared" ref="N3:N10" si="0">SUM(B3:M3)</f>
        <v>79960</v>
      </c>
    </row>
    <row r="4" spans="1:14">
      <c r="A4" s="263" t="s">
        <v>192</v>
      </c>
      <c r="B4" s="210"/>
      <c r="C4" s="106"/>
      <c r="D4" s="210"/>
      <c r="E4" s="211"/>
      <c r="F4" s="106"/>
      <c r="G4" s="270">
        <v>11500</v>
      </c>
      <c r="H4" s="235">
        <f>13500+13500</f>
        <v>27000</v>
      </c>
      <c r="I4" s="211"/>
      <c r="J4" s="7"/>
      <c r="K4" s="7"/>
      <c r="L4" s="18"/>
      <c r="M4" s="18"/>
      <c r="N4" s="7">
        <f t="shared" si="0"/>
        <v>38500</v>
      </c>
    </row>
    <row r="5" spans="1:14">
      <c r="A5" s="263" t="s">
        <v>236</v>
      </c>
      <c r="B5" s="210"/>
      <c r="C5" s="106"/>
      <c r="D5" s="210"/>
      <c r="E5" s="211"/>
      <c r="F5" s="106"/>
      <c r="G5" s="312"/>
      <c r="H5" s="210"/>
      <c r="I5" s="273">
        <v>82925</v>
      </c>
      <c r="J5" s="7"/>
      <c r="K5" s="7"/>
      <c r="L5" s="18"/>
      <c r="M5" s="18"/>
      <c r="N5" s="7">
        <f t="shared" si="0"/>
        <v>82925</v>
      </c>
    </row>
    <row r="6" spans="1:14">
      <c r="A6" s="2" t="s">
        <v>191</v>
      </c>
      <c r="B6" s="22"/>
      <c r="C6" s="22"/>
      <c r="D6" s="22"/>
      <c r="E6" s="22"/>
      <c r="F6" s="22"/>
      <c r="G6" s="294">
        <v>10710</v>
      </c>
      <c r="H6" s="22"/>
      <c r="I6" s="22"/>
      <c r="J6" s="9"/>
      <c r="K6" s="9"/>
      <c r="L6" s="9"/>
      <c r="M6" s="9"/>
      <c r="N6" s="9">
        <f t="shared" si="0"/>
        <v>10710</v>
      </c>
    </row>
    <row r="7" spans="1:14">
      <c r="A7" s="5" t="s">
        <v>204</v>
      </c>
      <c r="B7" s="226"/>
      <c r="C7" s="226"/>
      <c r="D7" s="226"/>
      <c r="E7" s="226"/>
      <c r="F7" s="226"/>
      <c r="G7" s="294">
        <v>195000</v>
      </c>
      <c r="H7" s="226"/>
      <c r="I7" s="22"/>
      <c r="J7" s="22"/>
      <c r="K7" s="22"/>
      <c r="L7" s="25"/>
      <c r="M7" s="25"/>
      <c r="N7" s="9">
        <f t="shared" si="0"/>
        <v>195000</v>
      </c>
    </row>
    <row r="8" spans="1:14">
      <c r="A8" s="5" t="s">
        <v>207</v>
      </c>
      <c r="B8" s="227"/>
      <c r="C8" s="227"/>
      <c r="D8" s="227"/>
      <c r="E8" s="227"/>
      <c r="F8" s="227"/>
      <c r="G8" s="295">
        <v>9389</v>
      </c>
      <c r="H8" s="295">
        <v>4000</v>
      </c>
      <c r="I8" s="23"/>
      <c r="J8" s="23"/>
      <c r="K8" s="23"/>
      <c r="L8" s="24"/>
      <c r="M8" s="24"/>
      <c r="N8" s="9">
        <f t="shared" si="0"/>
        <v>13389</v>
      </c>
    </row>
    <row r="9" spans="1:14">
      <c r="A9" s="2" t="s">
        <v>202</v>
      </c>
      <c r="B9" s="113"/>
      <c r="C9" s="113"/>
      <c r="D9" s="113"/>
      <c r="E9" s="114"/>
      <c r="F9" s="113"/>
      <c r="G9" s="269">
        <v>36765</v>
      </c>
      <c r="H9" s="113"/>
      <c r="I9" s="114"/>
      <c r="J9" s="35"/>
      <c r="K9" s="35"/>
      <c r="L9" s="39"/>
      <c r="M9" s="39"/>
      <c r="N9" s="35">
        <f t="shared" si="0"/>
        <v>36765</v>
      </c>
    </row>
    <row r="10" spans="1:14">
      <c r="A10" s="5" t="s">
        <v>203</v>
      </c>
      <c r="B10" s="113"/>
      <c r="C10" s="113"/>
      <c r="D10" s="113"/>
      <c r="E10" s="114"/>
      <c r="F10" s="113"/>
      <c r="G10" s="269">
        <v>15000</v>
      </c>
      <c r="H10" s="113"/>
      <c r="I10" s="114"/>
      <c r="J10" s="35"/>
      <c r="K10" s="35"/>
      <c r="L10" s="39"/>
      <c r="M10" s="39"/>
      <c r="N10" s="35">
        <f t="shared" si="0"/>
        <v>15000</v>
      </c>
    </row>
    <row r="11" spans="1:14">
      <c r="A11" s="3" t="s">
        <v>228</v>
      </c>
      <c r="B11" s="106"/>
      <c r="C11" s="106"/>
      <c r="D11" s="106"/>
      <c r="E11" s="106"/>
      <c r="F11" s="106"/>
      <c r="G11" s="197"/>
      <c r="H11" s="233">
        <v>7499</v>
      </c>
      <c r="I11" s="40"/>
      <c r="J11" s="41"/>
      <c r="K11" s="41"/>
      <c r="L11" s="42"/>
      <c r="M11" s="42"/>
      <c r="N11" s="35">
        <f t="shared" ref="N11:N17" si="1">SUM(B11:M11)</f>
        <v>7499</v>
      </c>
    </row>
    <row r="12" spans="1:14">
      <c r="A12" s="3" t="s">
        <v>234</v>
      </c>
      <c r="B12" s="106"/>
      <c r="C12" s="106"/>
      <c r="D12" s="106"/>
      <c r="E12" s="106"/>
      <c r="F12" s="106"/>
      <c r="G12" s="197"/>
      <c r="H12" s="106"/>
      <c r="I12" s="271">
        <v>42500</v>
      </c>
      <c r="J12" s="41"/>
      <c r="K12" s="41"/>
      <c r="L12" s="42"/>
      <c r="M12" s="42"/>
      <c r="N12" s="35">
        <f t="shared" si="1"/>
        <v>42500</v>
      </c>
    </row>
    <row r="13" spans="1:14">
      <c r="A13" s="3" t="s">
        <v>250</v>
      </c>
      <c r="B13" s="106"/>
      <c r="C13" s="106"/>
      <c r="D13" s="106"/>
      <c r="E13" s="106"/>
      <c r="F13" s="106"/>
      <c r="G13" s="197"/>
      <c r="H13" s="106"/>
      <c r="I13" s="41"/>
      <c r="J13" s="233">
        <f>8050.57/2</f>
        <v>4025.2849999999999</v>
      </c>
      <c r="K13" s="41"/>
      <c r="L13" s="42"/>
      <c r="M13" s="42"/>
      <c r="N13" s="35">
        <f t="shared" si="1"/>
        <v>4025.2849999999999</v>
      </c>
    </row>
    <row r="14" spans="1:14">
      <c r="A14" s="3" t="s">
        <v>272</v>
      </c>
      <c r="B14" s="106"/>
      <c r="C14" s="106"/>
      <c r="D14" s="106"/>
      <c r="E14" s="106"/>
      <c r="F14" s="106"/>
      <c r="G14" s="197"/>
      <c r="H14" s="106"/>
      <c r="I14" s="41"/>
      <c r="J14" s="106"/>
      <c r="K14" s="233">
        <f>2477/2</f>
        <v>1238.5</v>
      </c>
      <c r="L14" s="42"/>
      <c r="M14" s="42"/>
      <c r="N14" s="35">
        <f t="shared" si="1"/>
        <v>1238.5</v>
      </c>
    </row>
    <row r="15" spans="1:14">
      <c r="A15" s="3" t="s">
        <v>251</v>
      </c>
      <c r="B15" s="106"/>
      <c r="C15" s="106"/>
      <c r="D15" s="106"/>
      <c r="E15" s="106"/>
      <c r="F15" s="106"/>
      <c r="G15" s="197"/>
      <c r="H15" s="106"/>
      <c r="I15" s="41"/>
      <c r="J15" s="233">
        <f>4695/2</f>
        <v>2347.5</v>
      </c>
      <c r="K15" s="41"/>
      <c r="L15" s="42"/>
      <c r="M15" s="42"/>
      <c r="N15" s="35">
        <f t="shared" si="1"/>
        <v>2347.5</v>
      </c>
    </row>
    <row r="16" spans="1:14">
      <c r="A16" s="3" t="s">
        <v>253</v>
      </c>
      <c r="B16" s="106"/>
      <c r="C16" s="106"/>
      <c r="D16" s="106"/>
      <c r="E16" s="106"/>
      <c r="F16" s="106"/>
      <c r="G16" s="197"/>
      <c r="H16" s="106"/>
      <c r="I16" s="41"/>
      <c r="J16" s="233">
        <f>25000/2</f>
        <v>12500</v>
      </c>
      <c r="K16" s="41"/>
      <c r="L16" s="42"/>
      <c r="M16" s="42"/>
      <c r="N16" s="35">
        <f t="shared" si="1"/>
        <v>12500</v>
      </c>
    </row>
    <row r="17" spans="1:14">
      <c r="A17" s="3" t="s">
        <v>271</v>
      </c>
      <c r="B17" s="106"/>
      <c r="C17" s="106"/>
      <c r="D17" s="106"/>
      <c r="E17" s="106"/>
      <c r="F17" s="106"/>
      <c r="G17" s="197"/>
      <c r="H17" s="106"/>
      <c r="I17" s="41"/>
      <c r="J17" s="41"/>
      <c r="K17" s="233">
        <v>150</v>
      </c>
      <c r="L17" s="42"/>
      <c r="M17" s="42"/>
      <c r="N17" s="35">
        <f t="shared" si="1"/>
        <v>150</v>
      </c>
    </row>
    <row r="18" spans="1:14">
      <c r="A18" s="268" t="s">
        <v>300</v>
      </c>
      <c r="B18" s="113"/>
      <c r="C18" s="113"/>
      <c r="D18" s="113"/>
      <c r="E18" s="114"/>
      <c r="F18" s="114"/>
      <c r="G18" s="114"/>
      <c r="H18" s="113"/>
      <c r="I18" s="114"/>
      <c r="J18" s="35"/>
      <c r="K18" s="35"/>
      <c r="L18" s="320">
        <v>34960</v>
      </c>
      <c r="M18" s="39"/>
      <c r="N18" s="35">
        <f t="shared" ref="N18:N25" si="2">SUM(B18:M18)</f>
        <v>34960</v>
      </c>
    </row>
    <row r="19" spans="1:14">
      <c r="A19" s="268" t="s">
        <v>302</v>
      </c>
      <c r="B19" s="113"/>
      <c r="C19" s="113"/>
      <c r="D19" s="113"/>
      <c r="E19" s="114"/>
      <c r="F19" s="114"/>
      <c r="G19" s="114"/>
      <c r="H19" s="113"/>
      <c r="I19" s="114"/>
      <c r="J19" s="35"/>
      <c r="K19" s="35"/>
      <c r="L19" s="320">
        <v>90330</v>
      </c>
      <c r="M19" s="39"/>
      <c r="N19" s="35">
        <f t="shared" si="2"/>
        <v>90330</v>
      </c>
    </row>
    <row r="20" spans="1:14">
      <c r="A20" s="5" t="s">
        <v>264</v>
      </c>
      <c r="B20" s="106"/>
      <c r="C20" s="106"/>
      <c r="D20" s="106"/>
      <c r="E20" s="197"/>
      <c r="F20" s="106"/>
      <c r="G20" s="197"/>
      <c r="H20" s="106"/>
      <c r="I20" s="197"/>
      <c r="J20" s="41"/>
      <c r="K20" s="233">
        <v>23471</v>
      </c>
      <c r="L20" s="42"/>
      <c r="M20" s="42"/>
      <c r="N20" s="35">
        <f t="shared" si="2"/>
        <v>23471</v>
      </c>
    </row>
    <row r="21" spans="1:14">
      <c r="A21" s="2" t="s">
        <v>205</v>
      </c>
      <c r="B21" s="113"/>
      <c r="C21" s="113"/>
      <c r="D21" s="113"/>
      <c r="E21" s="114"/>
      <c r="F21" s="113"/>
      <c r="G21" s="269">
        <f>24133+18980</f>
        <v>43113</v>
      </c>
      <c r="H21" s="113"/>
      <c r="I21" s="114"/>
      <c r="J21" s="35"/>
      <c r="K21" s="35"/>
      <c r="L21" s="39"/>
      <c r="M21" s="39"/>
      <c r="N21" s="35">
        <f t="shared" si="2"/>
        <v>43113</v>
      </c>
    </row>
    <row r="22" spans="1:14">
      <c r="A22" s="2" t="s">
        <v>206</v>
      </c>
      <c r="B22" s="113"/>
      <c r="C22" s="113"/>
      <c r="D22" s="113"/>
      <c r="E22" s="114"/>
      <c r="F22" s="113"/>
      <c r="G22" s="269">
        <v>15104</v>
      </c>
      <c r="H22" s="113"/>
      <c r="I22" s="114"/>
      <c r="J22" s="35"/>
      <c r="K22" s="35"/>
      <c r="L22" s="39"/>
      <c r="M22" s="39"/>
      <c r="N22" s="35">
        <f t="shared" si="2"/>
        <v>15104</v>
      </c>
    </row>
    <row r="23" spans="1:14" ht="26.25">
      <c r="A23" s="265" t="s">
        <v>174</v>
      </c>
      <c r="B23" s="106"/>
      <c r="C23" s="106"/>
      <c r="D23" s="106"/>
      <c r="E23" s="233">
        <v>10794.55</v>
      </c>
      <c r="F23" s="242"/>
      <c r="G23" s="197"/>
      <c r="H23" s="106"/>
      <c r="I23" s="197"/>
      <c r="J23" s="41"/>
      <c r="K23" s="41"/>
      <c r="L23" s="42"/>
      <c r="M23" s="42"/>
      <c r="N23" s="35">
        <f t="shared" si="2"/>
        <v>10794.55</v>
      </c>
    </row>
    <row r="24" spans="1:14">
      <c r="A24" s="265" t="s">
        <v>312</v>
      </c>
      <c r="B24" s="106"/>
      <c r="C24" s="106"/>
      <c r="D24" s="106"/>
      <c r="E24" s="106"/>
      <c r="F24" s="242"/>
      <c r="G24" s="197"/>
      <c r="H24" s="106"/>
      <c r="I24" s="197"/>
      <c r="J24" s="41"/>
      <c r="K24" s="41"/>
      <c r="L24" s="320">
        <v>46930</v>
      </c>
      <c r="M24" s="42"/>
      <c r="N24" s="35">
        <f t="shared" si="2"/>
        <v>46930</v>
      </c>
    </row>
    <row r="25" spans="1:14">
      <c r="A25" s="268" t="s">
        <v>315</v>
      </c>
      <c r="B25" s="113"/>
      <c r="C25" s="113"/>
      <c r="D25" s="113"/>
      <c r="E25" s="114"/>
      <c r="F25" s="233">
        <v>40000</v>
      </c>
      <c r="G25" s="114"/>
      <c r="H25" s="113"/>
      <c r="I25" s="114"/>
      <c r="J25" s="35"/>
      <c r="K25" s="35"/>
      <c r="L25" s="39"/>
      <c r="M25" s="39"/>
      <c r="N25" s="35">
        <f t="shared" si="2"/>
        <v>40000</v>
      </c>
    </row>
    <row r="26" spans="1:14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1:14">
      <c r="A27" s="4" t="s">
        <v>18</v>
      </c>
      <c r="B27" s="292">
        <f t="shared" ref="B27:N27" si="3">SUM(B3:B26)</f>
        <v>0</v>
      </c>
      <c r="C27" s="292">
        <f t="shared" si="3"/>
        <v>0</v>
      </c>
      <c r="D27" s="292">
        <f t="shared" si="3"/>
        <v>0</v>
      </c>
      <c r="E27" s="292">
        <f t="shared" si="3"/>
        <v>90754.55</v>
      </c>
      <c r="F27" s="292">
        <f t="shared" si="3"/>
        <v>40000</v>
      </c>
      <c r="G27" s="292">
        <f t="shared" si="3"/>
        <v>336581</v>
      </c>
      <c r="H27" s="292">
        <f t="shared" si="3"/>
        <v>38499</v>
      </c>
      <c r="I27" s="292">
        <f t="shared" si="3"/>
        <v>125425</v>
      </c>
      <c r="J27" s="292">
        <f t="shared" si="3"/>
        <v>18872.785</v>
      </c>
      <c r="K27" s="292">
        <f t="shared" si="3"/>
        <v>24859.5</v>
      </c>
      <c r="L27" s="292">
        <f t="shared" si="3"/>
        <v>172220</v>
      </c>
      <c r="M27" s="292">
        <f t="shared" si="3"/>
        <v>0</v>
      </c>
      <c r="N27" s="292">
        <f t="shared" si="3"/>
        <v>847211.83500000008</v>
      </c>
    </row>
    <row r="29" spans="1:14">
      <c r="N29" s="315">
        <f>SUM(B27:M27)-N27</f>
        <v>0</v>
      </c>
    </row>
  </sheetData>
  <phoneticPr fontId="31" type="noConversion"/>
  <pageMargins left="0.25" right="0.25" top="0.75" bottom="0.75" header="0.3" footer="0.3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H22" sqref="H22"/>
    </sheetView>
  </sheetViews>
  <sheetFormatPr defaultRowHeight="15"/>
  <cols>
    <col min="4" max="4" width="9.85546875" bestFit="1" customWidth="1"/>
    <col min="6" max="6" width="13.5703125" customWidth="1"/>
    <col min="7" max="7" width="11.5703125" customWidth="1"/>
    <col min="8" max="8" width="11.42578125" customWidth="1"/>
    <col min="10" max="10" width="8.85546875" customWidth="1"/>
    <col min="11" max="19" width="10.85546875" customWidth="1"/>
    <col min="20" max="20" width="12.5703125" customWidth="1"/>
    <col min="21" max="21" width="9.85546875" customWidth="1"/>
  </cols>
  <sheetData>
    <row r="1" spans="1:21" ht="15.75">
      <c r="A1" s="45" t="s">
        <v>90</v>
      </c>
      <c r="B1" s="46"/>
      <c r="C1" s="46"/>
      <c r="D1" s="46"/>
      <c r="E1" s="46"/>
      <c r="F1" s="45"/>
      <c r="G1" s="47"/>
      <c r="H1" s="92" t="s">
        <v>89</v>
      </c>
      <c r="I1" s="92"/>
      <c r="J1" s="92"/>
      <c r="K1" s="92"/>
      <c r="L1" s="92"/>
      <c r="M1" s="92"/>
      <c r="N1" s="92"/>
      <c r="O1" s="47"/>
      <c r="P1" s="47"/>
      <c r="Q1" s="47"/>
      <c r="R1" s="47"/>
      <c r="S1" s="47"/>
      <c r="T1" s="47"/>
    </row>
    <row r="2" spans="1:21">
      <c r="A2" s="48" t="s">
        <v>66</v>
      </c>
      <c r="B2" s="49"/>
      <c r="C2" s="49"/>
      <c r="D2" s="49"/>
      <c r="E2" s="49"/>
      <c r="F2" s="363" t="s">
        <v>91</v>
      </c>
      <c r="G2" s="51" t="s">
        <v>92</v>
      </c>
      <c r="H2" s="26" t="s">
        <v>94</v>
      </c>
      <c r="I2" s="26"/>
      <c r="J2" s="26"/>
      <c r="K2" s="26"/>
      <c r="L2" s="26"/>
      <c r="M2" s="26"/>
      <c r="N2" s="26"/>
      <c r="O2" s="26"/>
      <c r="P2" s="26"/>
      <c r="Q2" s="26"/>
      <c r="R2" s="50"/>
      <c r="S2" s="50"/>
      <c r="T2" s="51" t="s">
        <v>68</v>
      </c>
    </row>
    <row r="3" spans="1:21">
      <c r="A3" s="52"/>
      <c r="B3" s="53"/>
      <c r="C3" s="53"/>
      <c r="D3" s="53"/>
      <c r="E3" s="53"/>
      <c r="F3" s="364"/>
      <c r="G3" s="56" t="s">
        <v>93</v>
      </c>
      <c r="H3" s="93" t="s">
        <v>1</v>
      </c>
      <c r="I3" s="54" t="s">
        <v>2</v>
      </c>
      <c r="J3" s="54" t="s">
        <v>3</v>
      </c>
      <c r="K3" s="54" t="s">
        <v>4</v>
      </c>
      <c r="L3" s="54" t="s">
        <v>5</v>
      </c>
      <c r="M3" s="54" t="s">
        <v>6</v>
      </c>
      <c r="N3" s="54" t="s">
        <v>7</v>
      </c>
      <c r="O3" s="54" t="s">
        <v>8</v>
      </c>
      <c r="P3" s="54" t="s">
        <v>9</v>
      </c>
      <c r="Q3" s="54" t="s">
        <v>10</v>
      </c>
      <c r="R3" s="55" t="s">
        <v>11</v>
      </c>
      <c r="S3" s="55" t="s">
        <v>12</v>
      </c>
      <c r="T3" s="56"/>
    </row>
    <row r="4" spans="1:21">
      <c r="A4" s="57" t="s">
        <v>69</v>
      </c>
      <c r="B4" s="58"/>
      <c r="C4" s="58"/>
      <c r="D4" s="58"/>
      <c r="E4" s="58"/>
      <c r="F4" s="59">
        <v>25090303</v>
      </c>
      <c r="G4" s="59">
        <f>F4/12</f>
        <v>2090858.5833333333</v>
      </c>
      <c r="H4" s="60">
        <v>2150745</v>
      </c>
      <c r="I4" s="61"/>
      <c r="J4" s="61"/>
      <c r="K4" s="61"/>
      <c r="L4" s="61"/>
      <c r="M4" s="61"/>
      <c r="N4" s="61"/>
      <c r="O4" s="61"/>
      <c r="P4" s="61"/>
      <c r="Q4" s="61"/>
      <c r="R4" s="62"/>
      <c r="S4" s="62"/>
      <c r="T4" s="63">
        <f t="shared" ref="T4:T9" si="0">SUM(H4:S4)</f>
        <v>2150745</v>
      </c>
      <c r="U4" s="64"/>
    </row>
    <row r="5" spans="1:21">
      <c r="A5" s="57" t="s">
        <v>70</v>
      </c>
      <c r="B5" s="58"/>
      <c r="C5" s="58"/>
      <c r="D5" s="58"/>
      <c r="E5" s="58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6"/>
      <c r="S5" s="62"/>
      <c r="T5" s="63">
        <f t="shared" si="0"/>
        <v>0</v>
      </c>
    </row>
    <row r="6" spans="1:21">
      <c r="A6" s="57" t="s">
        <v>71</v>
      </c>
      <c r="B6" s="58"/>
      <c r="C6" s="58"/>
      <c r="D6" s="58"/>
      <c r="E6" s="58"/>
      <c r="F6" s="65"/>
      <c r="G6" s="65"/>
      <c r="H6" s="60">
        <v>36280</v>
      </c>
      <c r="I6" s="61"/>
      <c r="J6" s="61"/>
      <c r="K6" s="61"/>
      <c r="L6" s="61"/>
      <c r="M6" s="61"/>
      <c r="N6" s="61"/>
      <c r="O6" s="61"/>
      <c r="P6" s="61"/>
      <c r="Q6" s="61"/>
      <c r="R6" s="62"/>
      <c r="S6" s="62"/>
      <c r="T6" s="63">
        <f t="shared" si="0"/>
        <v>36280</v>
      </c>
    </row>
    <row r="7" spans="1:21">
      <c r="A7" s="57" t="s">
        <v>72</v>
      </c>
      <c r="B7" s="58"/>
      <c r="C7" s="58"/>
      <c r="D7" s="58"/>
      <c r="E7" s="58"/>
      <c r="F7" s="65"/>
      <c r="G7" s="65"/>
      <c r="H7" s="61"/>
      <c r="I7" s="61"/>
      <c r="J7" s="61"/>
      <c r="K7" s="61"/>
      <c r="L7" s="61"/>
      <c r="M7" s="61"/>
      <c r="N7" s="61"/>
      <c r="O7" s="61"/>
      <c r="P7" s="61"/>
      <c r="Q7" s="61"/>
      <c r="R7" s="62"/>
      <c r="S7" s="62"/>
      <c r="T7" s="63">
        <f t="shared" si="0"/>
        <v>0</v>
      </c>
      <c r="U7" s="49"/>
    </row>
    <row r="8" spans="1:21">
      <c r="A8" s="57" t="s">
        <v>73</v>
      </c>
      <c r="B8" s="58"/>
      <c r="C8" s="58"/>
      <c r="D8" s="58"/>
      <c r="E8" s="58"/>
      <c r="F8" s="65"/>
      <c r="G8" s="65"/>
      <c r="H8" s="61"/>
      <c r="I8" s="61"/>
      <c r="J8" s="61"/>
      <c r="K8" s="61"/>
      <c r="L8" s="61"/>
      <c r="M8" s="61"/>
      <c r="N8" s="61"/>
      <c r="O8" s="61"/>
      <c r="P8" s="61"/>
      <c r="Q8" s="61"/>
      <c r="R8" s="62"/>
      <c r="S8" s="62"/>
      <c r="T8" s="67">
        <f t="shared" si="0"/>
        <v>0</v>
      </c>
    </row>
    <row r="9" spans="1:21">
      <c r="A9" s="68" t="s">
        <v>74</v>
      </c>
      <c r="B9" s="57"/>
      <c r="C9" s="58"/>
      <c r="D9" s="58"/>
      <c r="E9" s="58"/>
      <c r="F9" s="65"/>
      <c r="G9" s="65"/>
      <c r="H9" s="60">
        <f>15000+99836+10860</f>
        <v>125696</v>
      </c>
      <c r="I9" s="61"/>
      <c r="J9" s="65"/>
      <c r="K9" s="65"/>
      <c r="L9" s="65"/>
      <c r="M9" s="65"/>
      <c r="N9" s="65"/>
      <c r="O9" s="65"/>
      <c r="P9" s="61"/>
      <c r="Q9" s="65"/>
      <c r="R9" s="66"/>
      <c r="S9" s="66"/>
      <c r="T9" s="67">
        <f t="shared" si="0"/>
        <v>125696</v>
      </c>
    </row>
    <row r="10" spans="1:21" ht="15.75">
      <c r="A10" s="91"/>
      <c r="B10" s="89" t="s">
        <v>75</v>
      </c>
      <c r="C10" s="89"/>
      <c r="D10" s="89"/>
      <c r="E10" s="89"/>
      <c r="F10" s="88">
        <f>SUM(F4:F9)</f>
        <v>25090303</v>
      </c>
      <c r="G10" s="88">
        <f>SUM(G4:G9)</f>
        <v>2090858.5833333333</v>
      </c>
      <c r="H10" s="90">
        <f>SUM(H4:H9)</f>
        <v>2312721</v>
      </c>
      <c r="I10" s="61"/>
      <c r="J10" s="61"/>
      <c r="K10" s="61"/>
      <c r="L10" s="61"/>
      <c r="M10" s="61"/>
      <c r="N10" s="61"/>
      <c r="O10" s="61"/>
      <c r="P10" s="61"/>
      <c r="Q10" s="61"/>
      <c r="R10" s="62"/>
      <c r="S10" s="62"/>
      <c r="T10" s="63">
        <f>SUM(T4:T9)</f>
        <v>2312721</v>
      </c>
    </row>
    <row r="11" spans="1:21">
      <c r="A11" s="58"/>
      <c r="B11" s="58"/>
      <c r="C11" s="58"/>
      <c r="D11" s="58"/>
      <c r="E11" s="58"/>
      <c r="F11" s="46" t="s">
        <v>76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69"/>
      <c r="S11" s="69"/>
      <c r="T11" s="46"/>
      <c r="U11" s="70" t="s">
        <v>77</v>
      </c>
    </row>
    <row r="12" spans="1:21">
      <c r="A12" s="71" t="s">
        <v>0</v>
      </c>
      <c r="B12" s="58"/>
      <c r="C12" s="58"/>
      <c r="D12" s="58"/>
      <c r="E12" s="58"/>
      <c r="F12" s="72">
        <v>900000</v>
      </c>
      <c r="G12" s="72">
        <f>F12/12</f>
        <v>75000</v>
      </c>
      <c r="H12" s="83">
        <v>63332</v>
      </c>
      <c r="I12" s="61"/>
      <c r="J12" s="61"/>
      <c r="K12" s="61"/>
      <c r="L12" s="61"/>
      <c r="M12" s="61"/>
      <c r="N12" s="61"/>
      <c r="O12" s="61"/>
      <c r="P12" s="61"/>
      <c r="Q12" s="61"/>
      <c r="R12" s="62"/>
      <c r="S12" s="62"/>
      <c r="T12" s="73">
        <f>SUM(H12:S12)</f>
        <v>63332</v>
      </c>
      <c r="U12" s="74">
        <f t="shared" ref="U12:U32" si="1">G12*12-T12</f>
        <v>836668</v>
      </c>
    </row>
    <row r="13" spans="1:21">
      <c r="A13" s="75" t="s">
        <v>19</v>
      </c>
      <c r="B13" s="53"/>
      <c r="C13" s="53"/>
      <c r="D13" s="53"/>
      <c r="E13" s="53"/>
      <c r="F13" s="76">
        <v>160000</v>
      </c>
      <c r="G13" s="72">
        <f t="shared" ref="G13:G32" si="2">F13/12</f>
        <v>13333.333333333334</v>
      </c>
      <c r="H13" s="77">
        <v>11634</v>
      </c>
      <c r="I13" s="78"/>
      <c r="J13" s="78"/>
      <c r="K13" s="78"/>
      <c r="L13" s="78"/>
      <c r="M13" s="78"/>
      <c r="N13" s="78"/>
      <c r="O13" s="78"/>
      <c r="P13" s="78"/>
      <c r="Q13" s="78"/>
      <c r="R13" s="79"/>
      <c r="S13" s="79"/>
      <c r="T13" s="63">
        <f t="shared" ref="T13:T32" si="3">SUM(H13:S13)</f>
        <v>11634</v>
      </c>
      <c r="U13" s="80">
        <f t="shared" si="1"/>
        <v>148366</v>
      </c>
    </row>
    <row r="14" spans="1:21">
      <c r="A14" s="71" t="s">
        <v>22</v>
      </c>
      <c r="B14" s="58"/>
      <c r="C14" s="58"/>
      <c r="D14" s="58"/>
      <c r="E14" s="81"/>
      <c r="F14" s="72">
        <v>140000</v>
      </c>
      <c r="G14" s="72">
        <f t="shared" si="2"/>
        <v>11666.666666666666</v>
      </c>
      <c r="H14" s="83">
        <v>6336</v>
      </c>
      <c r="I14" s="61"/>
      <c r="J14" s="61"/>
      <c r="K14" s="61"/>
      <c r="L14" s="61"/>
      <c r="M14" s="61"/>
      <c r="N14" s="61"/>
      <c r="O14" s="61"/>
      <c r="P14" s="61"/>
      <c r="Q14" s="61"/>
      <c r="R14" s="62"/>
      <c r="S14" s="62"/>
      <c r="T14" s="63">
        <f t="shared" si="3"/>
        <v>6336</v>
      </c>
      <c r="U14" s="74">
        <f t="shared" si="1"/>
        <v>133664</v>
      </c>
    </row>
    <row r="15" spans="1:21">
      <c r="A15" s="75" t="s">
        <v>23</v>
      </c>
      <c r="B15" s="53"/>
      <c r="C15" s="53"/>
      <c r="D15" s="53"/>
      <c r="E15" s="82"/>
      <c r="F15" s="76">
        <v>300000</v>
      </c>
      <c r="G15" s="72">
        <f t="shared" si="2"/>
        <v>25000</v>
      </c>
      <c r="H15" s="77">
        <v>70000</v>
      </c>
      <c r="I15" s="78"/>
      <c r="J15" s="78"/>
      <c r="K15" s="78"/>
      <c r="L15" s="78"/>
      <c r="M15" s="78"/>
      <c r="N15" s="78"/>
      <c r="O15" s="78"/>
      <c r="P15" s="78"/>
      <c r="Q15" s="78"/>
      <c r="R15" s="79"/>
      <c r="S15" s="79"/>
      <c r="T15" s="63">
        <f>SUM(H15:S15)</f>
        <v>70000</v>
      </c>
      <c r="U15" s="80">
        <f t="shared" si="1"/>
        <v>230000</v>
      </c>
    </row>
    <row r="16" spans="1:21">
      <c r="A16" s="75" t="s">
        <v>78</v>
      </c>
      <c r="B16" s="53"/>
      <c r="C16" s="53"/>
      <c r="D16" s="53"/>
      <c r="E16" s="82"/>
      <c r="F16" s="76">
        <v>7890000</v>
      </c>
      <c r="G16" s="72">
        <f t="shared" si="2"/>
        <v>657500</v>
      </c>
      <c r="H16" s="77">
        <v>729871</v>
      </c>
      <c r="I16" s="78"/>
      <c r="J16" s="78"/>
      <c r="K16" s="78"/>
      <c r="L16" s="78"/>
      <c r="M16" s="78"/>
      <c r="N16" s="78"/>
      <c r="O16" s="78"/>
      <c r="P16" s="78"/>
      <c r="Q16" s="78"/>
      <c r="R16" s="79"/>
      <c r="S16" s="79"/>
      <c r="T16" s="63">
        <f>SUM(H16:S16)</f>
        <v>729871</v>
      </c>
      <c r="U16" s="74">
        <f t="shared" si="1"/>
        <v>7160129</v>
      </c>
    </row>
    <row r="17" spans="1:23">
      <c r="A17" s="75" t="s">
        <v>25</v>
      </c>
      <c r="B17" s="53"/>
      <c r="C17" s="53"/>
      <c r="D17" s="53"/>
      <c r="E17" s="53"/>
      <c r="F17" s="76">
        <v>500000</v>
      </c>
      <c r="G17" s="72">
        <f t="shared" si="2"/>
        <v>41666.666666666664</v>
      </c>
      <c r="H17" s="77">
        <v>9200</v>
      </c>
      <c r="I17" s="78"/>
      <c r="J17" s="78"/>
      <c r="K17" s="78"/>
      <c r="L17" s="78"/>
      <c r="M17" s="78"/>
      <c r="N17" s="78"/>
      <c r="O17" s="78"/>
      <c r="P17" s="78"/>
      <c r="Q17" s="78"/>
      <c r="R17" s="79"/>
      <c r="S17" s="79"/>
      <c r="T17" s="63">
        <f>SUM(H17:S17)</f>
        <v>9200</v>
      </c>
      <c r="U17" s="80">
        <f t="shared" si="1"/>
        <v>490800</v>
      </c>
    </row>
    <row r="18" spans="1:23">
      <c r="A18" s="75" t="s">
        <v>26</v>
      </c>
      <c r="B18" s="53"/>
      <c r="C18" s="53"/>
      <c r="D18" s="53"/>
      <c r="E18" s="53"/>
      <c r="F18" s="76">
        <v>2517000</v>
      </c>
      <c r="G18" s="72">
        <f t="shared" si="2"/>
        <v>209750</v>
      </c>
      <c r="H18" s="77">
        <v>215933</v>
      </c>
      <c r="I18" s="78"/>
      <c r="J18" s="78"/>
      <c r="K18" s="78"/>
      <c r="L18" s="78"/>
      <c r="M18" s="78"/>
      <c r="N18" s="78"/>
      <c r="O18" s="78"/>
      <c r="P18" s="78"/>
      <c r="Q18" s="78"/>
      <c r="R18" s="79"/>
      <c r="S18" s="79"/>
      <c r="T18" s="63">
        <f>SUM(H18:S18)</f>
        <v>215933</v>
      </c>
      <c r="U18" s="74">
        <f t="shared" si="1"/>
        <v>2301067</v>
      </c>
    </row>
    <row r="19" spans="1:23">
      <c r="A19" s="75" t="s">
        <v>79</v>
      </c>
      <c r="B19" s="53"/>
      <c r="C19" s="53"/>
      <c r="D19" s="53"/>
      <c r="E19" s="53"/>
      <c r="F19" s="76">
        <v>200000</v>
      </c>
      <c r="G19" s="72">
        <f t="shared" si="2"/>
        <v>16666.666666666668</v>
      </c>
      <c r="H19" s="77">
        <v>0</v>
      </c>
      <c r="I19" s="78"/>
      <c r="J19" s="78"/>
      <c r="K19" s="78"/>
      <c r="L19" s="78"/>
      <c r="M19" s="78"/>
      <c r="N19" s="78"/>
      <c r="O19" s="78"/>
      <c r="P19" s="78"/>
      <c r="Q19" s="78"/>
      <c r="R19" s="79"/>
      <c r="S19" s="79"/>
      <c r="T19" s="73">
        <f t="shared" si="3"/>
        <v>0</v>
      </c>
      <c r="U19" s="80">
        <f t="shared" si="1"/>
        <v>200000</v>
      </c>
    </row>
    <row r="20" spans="1:23">
      <c r="A20" s="71" t="s">
        <v>28</v>
      </c>
      <c r="B20" s="58"/>
      <c r="C20" s="58"/>
      <c r="D20" s="58"/>
      <c r="E20" s="58"/>
      <c r="F20" s="72">
        <v>1950000</v>
      </c>
      <c r="G20" s="72">
        <f t="shared" si="2"/>
        <v>162500</v>
      </c>
      <c r="H20" s="86">
        <v>179000</v>
      </c>
      <c r="I20" s="61"/>
      <c r="J20" s="61"/>
      <c r="K20" s="61"/>
      <c r="L20" s="61"/>
      <c r="M20" s="61"/>
      <c r="N20" s="61"/>
      <c r="O20" s="61"/>
      <c r="P20" s="61"/>
      <c r="Q20" s="61"/>
      <c r="R20" s="62"/>
      <c r="S20" s="62"/>
      <c r="T20" s="63">
        <f t="shared" si="3"/>
        <v>179000</v>
      </c>
      <c r="U20" s="74">
        <f t="shared" si="1"/>
        <v>1771000</v>
      </c>
    </row>
    <row r="21" spans="1:23">
      <c r="A21" s="71" t="s">
        <v>32</v>
      </c>
      <c r="B21" s="58"/>
      <c r="C21" s="58"/>
      <c r="D21" s="58"/>
      <c r="E21" s="81"/>
      <c r="F21" s="72">
        <v>7400000</v>
      </c>
      <c r="G21" s="72">
        <f t="shared" si="2"/>
        <v>616666.66666666663</v>
      </c>
      <c r="H21" s="83">
        <v>566600</v>
      </c>
      <c r="I21" s="61"/>
      <c r="J21" s="61"/>
      <c r="K21" s="61"/>
      <c r="L21" s="61"/>
      <c r="M21" s="61"/>
      <c r="N21" s="61"/>
      <c r="O21" s="61"/>
      <c r="P21" s="61"/>
      <c r="Q21" s="61"/>
      <c r="R21" s="62"/>
      <c r="S21" s="62"/>
      <c r="T21" s="63">
        <f t="shared" si="3"/>
        <v>566600</v>
      </c>
      <c r="U21" s="80">
        <f t="shared" si="1"/>
        <v>6833400</v>
      </c>
    </row>
    <row r="22" spans="1:23">
      <c r="A22" s="75" t="s">
        <v>34</v>
      </c>
      <c r="B22" s="53"/>
      <c r="C22" s="53"/>
      <c r="D22" s="53"/>
      <c r="E22" s="53"/>
      <c r="F22" s="76">
        <v>230000</v>
      </c>
      <c r="G22" s="72">
        <f t="shared" si="2"/>
        <v>19166.666666666668</v>
      </c>
      <c r="H22" s="77">
        <v>17252</v>
      </c>
      <c r="I22" s="78"/>
      <c r="J22" s="78"/>
      <c r="K22" s="78"/>
      <c r="L22" s="78"/>
      <c r="M22" s="78"/>
      <c r="N22" s="78"/>
      <c r="O22" s="78"/>
      <c r="P22" s="78"/>
      <c r="Q22" s="78"/>
      <c r="R22" s="79"/>
      <c r="S22" s="79"/>
      <c r="T22" s="63">
        <f t="shared" si="3"/>
        <v>17252</v>
      </c>
      <c r="U22" s="74">
        <f t="shared" si="1"/>
        <v>212748</v>
      </c>
    </row>
    <row r="23" spans="1:23">
      <c r="A23" s="71" t="s">
        <v>36</v>
      </c>
      <c r="B23" s="58"/>
      <c r="C23" s="58"/>
      <c r="D23" s="58"/>
      <c r="E23" s="58"/>
      <c r="F23" s="72">
        <v>1240000</v>
      </c>
      <c r="G23" s="72">
        <f t="shared" si="2"/>
        <v>103333.33333333333</v>
      </c>
      <c r="H23" s="83">
        <v>128037</v>
      </c>
      <c r="I23" s="61"/>
      <c r="J23" s="61"/>
      <c r="K23" s="61"/>
      <c r="L23" s="61"/>
      <c r="M23" s="61"/>
      <c r="N23" s="61"/>
      <c r="O23" s="61"/>
      <c r="P23" s="61"/>
      <c r="Q23" s="61"/>
      <c r="R23" s="62"/>
      <c r="S23" s="62"/>
      <c r="T23" s="63">
        <f t="shared" si="3"/>
        <v>128037</v>
      </c>
      <c r="U23" s="80">
        <f t="shared" si="1"/>
        <v>1111963</v>
      </c>
    </row>
    <row r="24" spans="1:23">
      <c r="A24" s="71" t="s">
        <v>80</v>
      </c>
      <c r="B24" s="58"/>
      <c r="C24" s="58"/>
      <c r="D24" s="58"/>
      <c r="E24" s="58"/>
      <c r="F24" s="72">
        <f>250000+480000</f>
        <v>730000</v>
      </c>
      <c r="G24" s="72">
        <f t="shared" si="2"/>
        <v>60833.333333333336</v>
      </c>
      <c r="H24" s="83">
        <v>72400</v>
      </c>
      <c r="I24" s="61"/>
      <c r="J24" s="61"/>
      <c r="K24" s="61"/>
      <c r="L24" s="61"/>
      <c r="M24" s="61"/>
      <c r="N24" s="61"/>
      <c r="O24" s="61"/>
      <c r="P24" s="61"/>
      <c r="Q24" s="61"/>
      <c r="R24" s="62"/>
      <c r="S24" s="62"/>
      <c r="T24" s="63">
        <f t="shared" si="3"/>
        <v>72400</v>
      </c>
      <c r="U24" s="74">
        <f t="shared" si="1"/>
        <v>657600</v>
      </c>
    </row>
    <row r="25" spans="1:23">
      <c r="A25" s="71" t="s">
        <v>81</v>
      </c>
      <c r="B25" s="58"/>
      <c r="C25" s="58"/>
      <c r="D25" s="58"/>
      <c r="E25" s="58"/>
      <c r="F25" s="72">
        <v>250000</v>
      </c>
      <c r="G25" s="72">
        <f t="shared" si="2"/>
        <v>20833.333333333332</v>
      </c>
      <c r="H25" s="83">
        <v>1080</v>
      </c>
      <c r="I25" s="61"/>
      <c r="J25" s="61"/>
      <c r="K25" s="61"/>
      <c r="L25" s="61"/>
      <c r="M25" s="61"/>
      <c r="N25" s="61"/>
      <c r="O25" s="61"/>
      <c r="P25" s="61"/>
      <c r="Q25" s="61"/>
      <c r="R25" s="62"/>
      <c r="S25" s="62"/>
      <c r="T25" s="73">
        <f t="shared" si="3"/>
        <v>1080</v>
      </c>
      <c r="U25" s="80">
        <f t="shared" si="1"/>
        <v>248920</v>
      </c>
    </row>
    <row r="26" spans="1:23">
      <c r="A26" s="71" t="s">
        <v>82</v>
      </c>
      <c r="B26" s="58"/>
      <c r="C26" s="58"/>
      <c r="D26" s="58"/>
      <c r="E26" s="58"/>
      <c r="F26" s="72">
        <v>1800000</v>
      </c>
      <c r="G26" s="72">
        <f t="shared" si="2"/>
        <v>150000</v>
      </c>
      <c r="H26" s="83">
        <v>98486</v>
      </c>
      <c r="I26" s="61"/>
      <c r="J26" s="61"/>
      <c r="K26" s="61"/>
      <c r="L26" s="61"/>
      <c r="M26" s="61"/>
      <c r="N26" s="61"/>
      <c r="O26" s="61"/>
      <c r="P26" s="61"/>
      <c r="Q26" s="61"/>
      <c r="R26" s="62"/>
      <c r="S26" s="62"/>
      <c r="T26" s="63">
        <f t="shared" si="3"/>
        <v>98486</v>
      </c>
      <c r="U26" s="74">
        <f t="shared" si="1"/>
        <v>1701514</v>
      </c>
    </row>
    <row r="27" spans="1:23">
      <c r="A27" s="71" t="s">
        <v>44</v>
      </c>
      <c r="B27" s="58"/>
      <c r="C27" s="58"/>
      <c r="D27" s="58"/>
      <c r="E27" s="58"/>
      <c r="F27" s="72">
        <v>1700000</v>
      </c>
      <c r="G27" s="72">
        <f t="shared" si="2"/>
        <v>141666.66666666666</v>
      </c>
      <c r="H27" s="86">
        <v>0</v>
      </c>
      <c r="I27" s="61"/>
      <c r="J27" s="61"/>
      <c r="K27" s="65"/>
      <c r="L27" s="65"/>
      <c r="M27" s="65"/>
      <c r="N27" s="61"/>
      <c r="O27" s="61"/>
      <c r="P27" s="61"/>
      <c r="Q27" s="61"/>
      <c r="R27" s="62"/>
      <c r="S27" s="62"/>
      <c r="T27" s="73">
        <f t="shared" si="3"/>
        <v>0</v>
      </c>
      <c r="U27" s="80">
        <f t="shared" si="1"/>
        <v>1700000</v>
      </c>
    </row>
    <row r="28" spans="1:23">
      <c r="A28" s="71" t="s">
        <v>83</v>
      </c>
      <c r="B28" s="58"/>
      <c r="C28" s="58"/>
      <c r="D28" s="58"/>
      <c r="E28" s="58"/>
      <c r="F28" s="72"/>
      <c r="G28" s="72">
        <f t="shared" si="2"/>
        <v>0</v>
      </c>
      <c r="H28" s="61">
        <v>0</v>
      </c>
      <c r="I28" s="61"/>
      <c r="J28" s="61"/>
      <c r="K28" s="65"/>
      <c r="L28" s="65"/>
      <c r="M28" s="65"/>
      <c r="N28" s="61"/>
      <c r="O28" s="61"/>
      <c r="P28" s="61"/>
      <c r="Q28" s="61"/>
      <c r="R28" s="62"/>
      <c r="S28" s="62"/>
      <c r="T28" s="73">
        <f t="shared" si="3"/>
        <v>0</v>
      </c>
      <c r="U28" s="74">
        <f t="shared" si="1"/>
        <v>0</v>
      </c>
    </row>
    <row r="29" spans="1:23">
      <c r="A29" s="71" t="s">
        <v>48</v>
      </c>
      <c r="B29" s="58"/>
      <c r="C29" s="58"/>
      <c r="D29" s="58"/>
      <c r="E29" s="58"/>
      <c r="F29" s="72">
        <v>600000</v>
      </c>
      <c r="G29" s="72">
        <f t="shared" si="2"/>
        <v>50000</v>
      </c>
      <c r="H29" s="83">
        <v>22864</v>
      </c>
      <c r="I29" s="61"/>
      <c r="J29" s="61"/>
      <c r="K29" s="65"/>
      <c r="L29" s="65"/>
      <c r="M29" s="65"/>
      <c r="N29" s="61"/>
      <c r="O29" s="61"/>
      <c r="P29" s="61"/>
      <c r="Q29" s="61"/>
      <c r="R29" s="62"/>
      <c r="S29" s="62"/>
      <c r="T29" s="63">
        <f t="shared" si="3"/>
        <v>22864</v>
      </c>
      <c r="U29" s="80">
        <f t="shared" si="1"/>
        <v>577136</v>
      </c>
    </row>
    <row r="30" spans="1:23">
      <c r="A30" s="71" t="s">
        <v>84</v>
      </c>
      <c r="B30" s="58"/>
      <c r="C30" s="58"/>
      <c r="D30" s="58"/>
      <c r="E30" s="58"/>
      <c r="F30" s="72">
        <v>250000</v>
      </c>
      <c r="G30" s="72">
        <f t="shared" si="2"/>
        <v>20833.333333333332</v>
      </c>
      <c r="H30" s="83">
        <v>11304</v>
      </c>
      <c r="I30" s="61"/>
      <c r="J30" s="61"/>
      <c r="K30" s="61"/>
      <c r="L30" s="61"/>
      <c r="M30" s="61"/>
      <c r="N30" s="61"/>
      <c r="O30" s="61"/>
      <c r="P30" s="61"/>
      <c r="Q30" s="61"/>
      <c r="R30" s="62"/>
      <c r="S30" s="62"/>
      <c r="T30" s="63">
        <f t="shared" si="3"/>
        <v>11304</v>
      </c>
      <c r="U30" s="74">
        <f t="shared" si="1"/>
        <v>238696</v>
      </c>
    </row>
    <row r="31" spans="1:23">
      <c r="A31" s="71" t="s">
        <v>85</v>
      </c>
      <c r="B31" s="58"/>
      <c r="C31" s="58"/>
      <c r="D31" s="58"/>
      <c r="E31" s="58"/>
      <c r="F31" s="72">
        <v>719200</v>
      </c>
      <c r="G31" s="72">
        <f t="shared" si="2"/>
        <v>59933.333333333336</v>
      </c>
      <c r="H31" s="61">
        <v>0</v>
      </c>
      <c r="I31" s="61"/>
      <c r="J31" s="61"/>
      <c r="K31" s="61"/>
      <c r="L31" s="61"/>
      <c r="M31" s="61"/>
      <c r="N31" s="61"/>
      <c r="O31" s="61"/>
      <c r="P31" s="61"/>
      <c r="Q31" s="61"/>
      <c r="R31" s="62"/>
      <c r="S31" s="62"/>
      <c r="T31" s="63">
        <f t="shared" si="3"/>
        <v>0</v>
      </c>
      <c r="U31" s="80">
        <f t="shared" si="1"/>
        <v>719200</v>
      </c>
    </row>
    <row r="32" spans="1:23">
      <c r="A32" s="71" t="s">
        <v>86</v>
      </c>
      <c r="B32" s="58"/>
      <c r="C32" s="58"/>
      <c r="D32" s="58"/>
      <c r="E32" s="58"/>
      <c r="F32" s="72">
        <v>1473800</v>
      </c>
      <c r="G32" s="72">
        <f t="shared" si="2"/>
        <v>122816.66666666667</v>
      </c>
      <c r="H32" s="61">
        <v>0</v>
      </c>
      <c r="I32" s="61"/>
      <c r="J32" s="61"/>
      <c r="K32" s="65"/>
      <c r="L32" s="65"/>
      <c r="M32" s="65"/>
      <c r="N32" s="61"/>
      <c r="O32" s="61"/>
      <c r="P32" s="61"/>
      <c r="Q32" s="61"/>
      <c r="R32" s="62"/>
      <c r="S32" s="62"/>
      <c r="T32" s="73">
        <f t="shared" si="3"/>
        <v>0</v>
      </c>
      <c r="U32" s="80">
        <f t="shared" si="1"/>
        <v>1473800</v>
      </c>
      <c r="V32" s="49"/>
      <c r="W32" s="49"/>
    </row>
    <row r="33" spans="1:21" ht="15.75">
      <c r="A33" s="84" t="s">
        <v>87</v>
      </c>
      <c r="B33" s="46"/>
      <c r="C33" s="58"/>
      <c r="D33" s="58"/>
      <c r="E33" s="58"/>
      <c r="F33" s="87">
        <f>SUM(F12:F32)</f>
        <v>30950000</v>
      </c>
      <c r="G33" s="87">
        <f>SUM(G12:G32)</f>
        <v>2579166.6666666665</v>
      </c>
      <c r="H33" s="87">
        <f>SUM(H12:H32)</f>
        <v>2203329</v>
      </c>
      <c r="I33" s="61">
        <f t="shared" ref="I33:T33" si="4">SUM(I12:I32)</f>
        <v>0</v>
      </c>
      <c r="J33" s="61">
        <f t="shared" si="4"/>
        <v>0</v>
      </c>
      <c r="K33" s="61">
        <f t="shared" si="4"/>
        <v>0</v>
      </c>
      <c r="L33" s="61">
        <f t="shared" si="4"/>
        <v>0</v>
      </c>
      <c r="M33" s="61">
        <f t="shared" si="4"/>
        <v>0</v>
      </c>
      <c r="N33" s="61">
        <f t="shared" si="4"/>
        <v>0</v>
      </c>
      <c r="O33" s="61">
        <f t="shared" si="4"/>
        <v>0</v>
      </c>
      <c r="P33" s="61">
        <f t="shared" si="4"/>
        <v>0</v>
      </c>
      <c r="Q33" s="61">
        <f t="shared" si="4"/>
        <v>0</v>
      </c>
      <c r="R33" s="62">
        <f t="shared" si="4"/>
        <v>0</v>
      </c>
      <c r="S33" s="62">
        <f t="shared" si="4"/>
        <v>0</v>
      </c>
      <c r="T33" s="63">
        <f t="shared" si="4"/>
        <v>2203329</v>
      </c>
      <c r="U33" s="74">
        <f>SUM(U12:U32)</f>
        <v>28746671</v>
      </c>
    </row>
    <row r="35" spans="1:21">
      <c r="Q35" s="85"/>
    </row>
    <row r="37" spans="1:21">
      <c r="T37" s="64"/>
    </row>
    <row r="40" spans="1:21">
      <c r="O40" s="49"/>
    </row>
  </sheetData>
  <mergeCells count="1">
    <mergeCell ref="F2:F3"/>
  </mergeCells>
  <phoneticPr fontId="31" type="noConversion"/>
  <pageMargins left="0.70866141732283472" right="0.70866141732283472" top="0" bottom="0" header="0" footer="0"/>
  <pageSetup paperSize="9" orientation="landscape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7"/>
  <sheetViews>
    <sheetView topLeftCell="A16" workbookViewId="0">
      <selection activeCell="M46" sqref="M46"/>
    </sheetView>
  </sheetViews>
  <sheetFormatPr defaultRowHeight="15"/>
  <cols>
    <col min="1" max="1" width="33.85546875" customWidth="1"/>
    <col min="2" max="2" width="9.140625" style="36"/>
    <col min="3" max="3" width="10.7109375" style="36" customWidth="1"/>
    <col min="4" max="6" width="9.140625" style="36"/>
    <col min="7" max="7" width="8" style="36" customWidth="1"/>
    <col min="8" max="8" width="8.140625" style="36" customWidth="1"/>
    <col min="9" max="9" width="8" style="36" customWidth="1"/>
    <col min="10" max="10" width="8.140625" style="36" customWidth="1"/>
    <col min="11" max="12" width="7.7109375" style="36" customWidth="1"/>
    <col min="13" max="14" width="9.140625" style="36"/>
  </cols>
  <sheetData>
    <row r="1" spans="1:14">
      <c r="A1" s="20" t="s">
        <v>0</v>
      </c>
      <c r="B1" s="31"/>
      <c r="C1" s="31"/>
      <c r="D1" s="31"/>
      <c r="E1" s="31"/>
      <c r="F1" s="33" t="s">
        <v>133</v>
      </c>
      <c r="G1" s="33"/>
      <c r="H1" s="31"/>
      <c r="I1" s="31"/>
      <c r="J1" s="31"/>
      <c r="K1" s="31"/>
      <c r="L1" s="31"/>
      <c r="M1" s="31"/>
      <c r="N1" s="29"/>
    </row>
    <row r="2" spans="1:14">
      <c r="A2" s="1"/>
      <c r="B2" s="27" t="s">
        <v>1</v>
      </c>
      <c r="C2" s="27" t="s">
        <v>2</v>
      </c>
      <c r="D2" s="29" t="s">
        <v>3</v>
      </c>
      <c r="E2" s="27" t="s">
        <v>4</v>
      </c>
      <c r="F2" s="27" t="s">
        <v>5</v>
      </c>
      <c r="G2" s="28" t="s">
        <v>6</v>
      </c>
      <c r="H2" s="27" t="s">
        <v>7</v>
      </c>
      <c r="I2" s="28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 t="s">
        <v>18</v>
      </c>
    </row>
    <row r="3" spans="1:14">
      <c r="A3" s="2"/>
      <c r="B3" s="35"/>
      <c r="C3" s="35"/>
      <c r="D3" s="241"/>
      <c r="E3" s="35"/>
      <c r="F3" s="35"/>
      <c r="G3" s="34"/>
      <c r="H3" s="35"/>
      <c r="I3" s="34"/>
      <c r="J3" s="35"/>
      <c r="K3" s="35"/>
      <c r="L3" s="35"/>
      <c r="M3" s="35"/>
      <c r="N3" s="35"/>
    </row>
    <row r="4" spans="1:14">
      <c r="A4" s="2" t="s">
        <v>13</v>
      </c>
      <c r="B4" s="231">
        <v>6105</v>
      </c>
      <c r="C4" s="230">
        <v>8741</v>
      </c>
      <c r="D4" s="230">
        <v>8548</v>
      </c>
      <c r="E4" s="230">
        <v>8548.52</v>
      </c>
      <c r="F4" s="230">
        <v>7076.7</v>
      </c>
      <c r="G4" s="269">
        <v>3367</v>
      </c>
      <c r="H4" s="230">
        <v>5014</v>
      </c>
      <c r="I4" s="269">
        <v>2704.58</v>
      </c>
      <c r="J4" s="230">
        <v>5695.77</v>
      </c>
      <c r="K4" s="230">
        <v>3382.56</v>
      </c>
      <c r="L4" s="230">
        <v>3398.23</v>
      </c>
      <c r="M4" s="39"/>
      <c r="N4" s="43">
        <f t="shared" ref="N4:N47" si="0">SUM(B4:M4)</f>
        <v>62581.360000000008</v>
      </c>
    </row>
    <row r="5" spans="1:14">
      <c r="A5" s="5" t="s">
        <v>14</v>
      </c>
      <c r="B5" s="233">
        <v>2598</v>
      </c>
      <c r="C5" s="233">
        <v>4107</v>
      </c>
      <c r="D5" s="233">
        <v>623</v>
      </c>
      <c r="E5" s="197"/>
      <c r="F5" s="106"/>
      <c r="G5" s="197"/>
      <c r="H5" s="106"/>
      <c r="I5" s="40"/>
      <c r="J5" s="41"/>
      <c r="K5" s="41"/>
      <c r="L5" s="42"/>
      <c r="M5" s="42"/>
      <c r="N5" s="41">
        <f t="shared" si="0"/>
        <v>7328</v>
      </c>
    </row>
    <row r="6" spans="1:14">
      <c r="A6" s="3" t="s">
        <v>61</v>
      </c>
      <c r="B6" s="113"/>
      <c r="C6" s="113"/>
      <c r="D6" s="113"/>
      <c r="E6" s="230">
        <v>10366.61</v>
      </c>
      <c r="F6" s="113"/>
      <c r="G6" s="269">
        <f>11095.35+299+55</f>
        <v>11449.35</v>
      </c>
      <c r="H6" s="113"/>
      <c r="I6" s="269">
        <v>9921</v>
      </c>
      <c r="J6" s="230">
        <f>1128.12+2716.21</f>
        <v>3844.33</v>
      </c>
      <c r="K6" s="35"/>
      <c r="L6" s="320">
        <f>4950.95+2793.31</f>
        <v>7744.26</v>
      </c>
      <c r="M6" s="39"/>
      <c r="N6" s="41">
        <f t="shared" si="0"/>
        <v>43325.55</v>
      </c>
    </row>
    <row r="7" spans="1:14">
      <c r="A7" s="2" t="s">
        <v>17</v>
      </c>
      <c r="B7" s="113"/>
      <c r="C7" s="230">
        <v>800</v>
      </c>
      <c r="D7" s="230">
        <v>5040</v>
      </c>
      <c r="E7" s="114"/>
      <c r="F7" s="113"/>
      <c r="G7" s="269">
        <v>2805</v>
      </c>
      <c r="H7" s="113"/>
      <c r="I7" s="34"/>
      <c r="J7" s="35"/>
      <c r="K7" s="35"/>
      <c r="L7" s="39"/>
      <c r="M7" s="39"/>
      <c r="N7" s="41">
        <f t="shared" si="0"/>
        <v>8645</v>
      </c>
    </row>
    <row r="8" spans="1:14">
      <c r="A8" s="2" t="s">
        <v>268</v>
      </c>
      <c r="B8" s="113"/>
      <c r="C8" s="113"/>
      <c r="D8" s="113"/>
      <c r="E8" s="114"/>
      <c r="F8" s="113"/>
      <c r="G8" s="114"/>
      <c r="H8" s="113"/>
      <c r="I8" s="34"/>
      <c r="J8" s="35"/>
      <c r="K8" s="230">
        <v>6519.74</v>
      </c>
      <c r="L8" s="39"/>
      <c r="M8" s="39"/>
      <c r="N8" s="41">
        <f t="shared" si="0"/>
        <v>6519.74</v>
      </c>
    </row>
    <row r="9" spans="1:14">
      <c r="A9" s="3" t="s">
        <v>54</v>
      </c>
      <c r="B9" s="233">
        <v>5979</v>
      </c>
      <c r="C9" s="233">
        <v>4969</v>
      </c>
      <c r="D9" s="233">
        <v>4831</v>
      </c>
      <c r="E9" s="233">
        <v>2070</v>
      </c>
      <c r="F9" s="233">
        <v>2300</v>
      </c>
      <c r="G9" s="271">
        <v>2135.0500000000002</v>
      </c>
      <c r="H9" s="233">
        <f>2037.6+2070</f>
        <v>4107.6000000000004</v>
      </c>
      <c r="I9" s="40"/>
      <c r="J9" s="41"/>
      <c r="K9" s="41"/>
      <c r="L9" s="319">
        <v>2310</v>
      </c>
      <c r="M9" s="42"/>
      <c r="N9" s="41">
        <f t="shared" si="0"/>
        <v>28701.65</v>
      </c>
    </row>
    <row r="10" spans="1:14">
      <c r="A10" s="2" t="s">
        <v>15</v>
      </c>
      <c r="B10" s="113"/>
      <c r="C10" s="230">
        <v>1250</v>
      </c>
      <c r="D10" s="113"/>
      <c r="E10" s="114"/>
      <c r="F10" s="113"/>
      <c r="G10" s="114"/>
      <c r="H10" s="113"/>
      <c r="I10" s="34"/>
      <c r="J10" s="35"/>
      <c r="K10" s="35"/>
      <c r="L10" s="39"/>
      <c r="M10" s="39"/>
      <c r="N10" s="35">
        <f t="shared" si="0"/>
        <v>1250</v>
      </c>
    </row>
    <row r="11" spans="1:14">
      <c r="A11" s="252" t="s">
        <v>154</v>
      </c>
      <c r="B11" s="106"/>
      <c r="C11" s="106"/>
      <c r="D11" s="233">
        <v>289</v>
      </c>
      <c r="E11" s="197"/>
      <c r="F11" s="106"/>
      <c r="G11" s="271">
        <f>1091+527+138+49</f>
        <v>1805</v>
      </c>
      <c r="H11" s="233">
        <v>410</v>
      </c>
      <c r="I11" s="40"/>
      <c r="J11" s="233">
        <v>263</v>
      </c>
      <c r="K11" s="41"/>
      <c r="L11" s="319">
        <f>196.54+278.04+278.04+278.04</f>
        <v>1030.6600000000001</v>
      </c>
      <c r="M11" s="42"/>
      <c r="N11" s="41">
        <f t="shared" si="0"/>
        <v>3797.66</v>
      </c>
    </row>
    <row r="12" spans="1:14">
      <c r="A12" s="3" t="s">
        <v>16</v>
      </c>
      <c r="B12" s="230">
        <v>700</v>
      </c>
      <c r="C12" s="230">
        <v>700</v>
      </c>
      <c r="D12" s="230">
        <v>700</v>
      </c>
      <c r="E12" s="230">
        <v>700</v>
      </c>
      <c r="F12" s="230">
        <v>700</v>
      </c>
      <c r="G12" s="230">
        <v>700</v>
      </c>
      <c r="H12" s="230">
        <f>700+1000</f>
        <v>1700</v>
      </c>
      <c r="I12" s="113"/>
      <c r="J12" s="113"/>
      <c r="K12" s="35"/>
      <c r="L12" s="39"/>
      <c r="M12" s="39"/>
      <c r="N12" s="35">
        <f t="shared" si="0"/>
        <v>5900</v>
      </c>
    </row>
    <row r="13" spans="1:14">
      <c r="A13" s="3" t="s">
        <v>153</v>
      </c>
      <c r="B13" s="106"/>
      <c r="C13" s="106"/>
      <c r="D13" s="233">
        <v>291</v>
      </c>
      <c r="E13" s="197"/>
      <c r="F13" s="106"/>
      <c r="G13" s="197"/>
      <c r="H13" s="106"/>
      <c r="I13" s="40"/>
      <c r="J13" s="41"/>
      <c r="K13" s="41"/>
      <c r="L13" s="42"/>
      <c r="M13" s="42"/>
      <c r="N13" s="41">
        <f t="shared" si="0"/>
        <v>291</v>
      </c>
    </row>
    <row r="14" spans="1:14">
      <c r="A14" s="251" t="s">
        <v>150</v>
      </c>
      <c r="B14" s="113"/>
      <c r="C14" s="230">
        <v>1850</v>
      </c>
      <c r="D14" s="113"/>
      <c r="E14" s="114"/>
      <c r="F14" s="113"/>
      <c r="G14" s="114"/>
      <c r="H14" s="113"/>
      <c r="I14" s="34"/>
      <c r="J14" s="35"/>
      <c r="K14" s="35"/>
      <c r="L14" s="39"/>
      <c r="M14" s="39"/>
      <c r="N14" s="35">
        <f t="shared" si="0"/>
        <v>1850</v>
      </c>
    </row>
    <row r="15" spans="1:14">
      <c r="A15" s="251" t="s">
        <v>309</v>
      </c>
      <c r="B15" s="113"/>
      <c r="C15" s="113"/>
      <c r="D15" s="113"/>
      <c r="E15" s="114"/>
      <c r="F15" s="113"/>
      <c r="G15" s="114"/>
      <c r="H15" s="113"/>
      <c r="I15" s="34"/>
      <c r="J15" s="35"/>
      <c r="K15" s="35"/>
      <c r="L15" s="320">
        <v>800</v>
      </c>
      <c r="M15" s="39"/>
      <c r="N15" s="35">
        <f t="shared" si="0"/>
        <v>800</v>
      </c>
    </row>
    <row r="16" spans="1:14">
      <c r="A16" s="3" t="s">
        <v>157</v>
      </c>
      <c r="B16" s="113"/>
      <c r="C16" s="230">
        <v>11200</v>
      </c>
      <c r="D16" s="113"/>
      <c r="E16" s="114"/>
      <c r="F16" s="113"/>
      <c r="G16" s="114"/>
      <c r="H16" s="113"/>
      <c r="I16" s="34"/>
      <c r="J16" s="35"/>
      <c r="K16" s="35"/>
      <c r="L16" s="39"/>
      <c r="M16" s="39"/>
      <c r="N16" s="35">
        <f t="shared" si="0"/>
        <v>11200</v>
      </c>
    </row>
    <row r="17" spans="1:14">
      <c r="A17" s="3" t="s">
        <v>57</v>
      </c>
      <c r="B17" s="106"/>
      <c r="C17" s="106"/>
      <c r="D17" s="106"/>
      <c r="E17" s="197"/>
      <c r="F17" s="233">
        <v>43692.68</v>
      </c>
      <c r="G17" s="197"/>
      <c r="H17" s="233">
        <v>16034</v>
      </c>
      <c r="I17" s="40"/>
      <c r="J17" s="41"/>
      <c r="K17" s="41"/>
      <c r="L17" s="42"/>
      <c r="M17" s="42"/>
      <c r="N17" s="35">
        <f t="shared" si="0"/>
        <v>59726.68</v>
      </c>
    </row>
    <row r="18" spans="1:14">
      <c r="A18" s="253" t="s">
        <v>158</v>
      </c>
      <c r="B18" s="113"/>
      <c r="C18" s="113"/>
      <c r="D18" s="113"/>
      <c r="E18" s="114"/>
      <c r="F18" s="233">
        <v>800</v>
      </c>
      <c r="G18" s="114"/>
      <c r="H18" s="113"/>
      <c r="I18" s="34"/>
      <c r="J18" s="35"/>
      <c r="K18" s="35"/>
      <c r="L18" s="39"/>
      <c r="M18" s="39"/>
      <c r="N18" s="35">
        <f t="shared" si="0"/>
        <v>800</v>
      </c>
    </row>
    <row r="19" spans="1:14">
      <c r="A19" s="253" t="s">
        <v>159</v>
      </c>
      <c r="B19" s="113"/>
      <c r="C19" s="113"/>
      <c r="D19" s="113"/>
      <c r="E19" s="114"/>
      <c r="F19" s="233">
        <v>2728.51</v>
      </c>
      <c r="G19" s="114"/>
      <c r="H19" s="113"/>
      <c r="I19" s="34"/>
      <c r="J19" s="35"/>
      <c r="K19" s="35"/>
      <c r="L19" s="39"/>
      <c r="M19" s="39"/>
      <c r="N19" s="35">
        <f t="shared" si="0"/>
        <v>2728.51</v>
      </c>
    </row>
    <row r="20" spans="1:14">
      <c r="A20" s="267" t="s">
        <v>186</v>
      </c>
      <c r="B20" s="218"/>
      <c r="C20" s="218"/>
      <c r="D20" s="218"/>
      <c r="E20" s="232"/>
      <c r="F20" s="218"/>
      <c r="G20" s="272">
        <v>2400</v>
      </c>
      <c r="H20" s="218"/>
      <c r="I20" s="108"/>
      <c r="J20" s="107"/>
      <c r="K20" s="107"/>
      <c r="L20" s="109"/>
      <c r="M20" s="109"/>
      <c r="N20" s="35">
        <f t="shared" si="0"/>
        <v>2400</v>
      </c>
    </row>
    <row r="21" spans="1:14">
      <c r="A21" s="2" t="s">
        <v>152</v>
      </c>
      <c r="B21" s="113"/>
      <c r="C21" s="113"/>
      <c r="D21" s="230">
        <v>10450</v>
      </c>
      <c r="E21" s="114"/>
      <c r="F21" s="113"/>
      <c r="G21" s="269">
        <v>900</v>
      </c>
      <c r="H21" s="113"/>
      <c r="I21" s="34"/>
      <c r="J21" s="35"/>
      <c r="K21" s="35"/>
      <c r="L21" s="39"/>
      <c r="M21" s="320">
        <v>1700</v>
      </c>
      <c r="N21" s="35">
        <f t="shared" si="0"/>
        <v>13050</v>
      </c>
    </row>
    <row r="22" spans="1:14">
      <c r="A22" s="2" t="s">
        <v>23</v>
      </c>
      <c r="B22" s="113"/>
      <c r="C22" s="113"/>
      <c r="D22" s="113"/>
      <c r="E22" s="114"/>
      <c r="F22" s="230">
        <v>16050</v>
      </c>
      <c r="G22" s="269">
        <v>3600</v>
      </c>
      <c r="H22" s="113"/>
      <c r="I22" s="34"/>
      <c r="J22" s="35"/>
      <c r="K22" s="35"/>
      <c r="L22" s="39"/>
      <c r="M22" s="39"/>
      <c r="N22" s="35">
        <f t="shared" si="0"/>
        <v>19650</v>
      </c>
    </row>
    <row r="23" spans="1:14">
      <c r="A23" s="2" t="s">
        <v>139</v>
      </c>
      <c r="B23" s="233">
        <v>11000</v>
      </c>
      <c r="C23" s="233">
        <v>11000</v>
      </c>
      <c r="D23" s="233">
        <v>11000</v>
      </c>
      <c r="E23" s="233">
        <v>11000</v>
      </c>
      <c r="F23" s="233">
        <v>11000</v>
      </c>
      <c r="G23" s="233">
        <v>11000</v>
      </c>
      <c r="H23" s="230">
        <v>11000</v>
      </c>
      <c r="I23" s="269">
        <v>11000</v>
      </c>
      <c r="J23" s="230">
        <v>11000</v>
      </c>
      <c r="K23" s="230">
        <v>11000</v>
      </c>
      <c r="L23" s="320">
        <v>11000</v>
      </c>
      <c r="M23" s="320">
        <v>11000</v>
      </c>
      <c r="N23" s="35">
        <f t="shared" si="0"/>
        <v>132000</v>
      </c>
    </row>
    <row r="24" spans="1:14">
      <c r="A24" s="2" t="s">
        <v>141</v>
      </c>
      <c r="B24" s="230">
        <v>8480</v>
      </c>
      <c r="C24" s="113"/>
      <c r="D24" s="113"/>
      <c r="E24" s="114"/>
      <c r="F24" s="113"/>
      <c r="G24" s="114"/>
      <c r="H24" s="113"/>
      <c r="I24" s="34"/>
      <c r="J24" s="35"/>
      <c r="K24" s="35"/>
      <c r="L24" s="39"/>
      <c r="M24" s="39"/>
      <c r="N24" s="35">
        <f t="shared" si="0"/>
        <v>8480</v>
      </c>
    </row>
    <row r="25" spans="1:14">
      <c r="A25" s="2" t="s">
        <v>165</v>
      </c>
      <c r="B25" s="113"/>
      <c r="C25" s="113"/>
      <c r="D25" s="113"/>
      <c r="E25" s="114"/>
      <c r="F25" s="231">
        <v>7399</v>
      </c>
      <c r="G25" s="114"/>
      <c r="H25" s="113"/>
      <c r="I25" s="34"/>
      <c r="J25" s="35"/>
      <c r="K25" s="35"/>
      <c r="L25" s="39"/>
      <c r="M25" s="39"/>
      <c r="N25" s="35">
        <f t="shared" si="0"/>
        <v>7399</v>
      </c>
    </row>
    <row r="26" spans="1:14">
      <c r="A26" s="2" t="s">
        <v>210</v>
      </c>
      <c r="B26" s="113"/>
      <c r="C26" s="113"/>
      <c r="D26" s="113"/>
      <c r="E26" s="114"/>
      <c r="F26" s="102"/>
      <c r="G26" s="269">
        <v>52030</v>
      </c>
      <c r="H26" s="113"/>
      <c r="I26" s="34"/>
      <c r="J26" s="35"/>
      <c r="K26" s="35"/>
      <c r="L26" s="39"/>
      <c r="M26" s="39"/>
      <c r="N26" s="9">
        <f t="shared" si="0"/>
        <v>52030</v>
      </c>
    </row>
    <row r="27" spans="1:14">
      <c r="A27" s="2" t="s">
        <v>169</v>
      </c>
      <c r="B27" s="113"/>
      <c r="C27" s="113"/>
      <c r="D27" s="113"/>
      <c r="E27" s="231">
        <v>349</v>
      </c>
      <c r="F27" s="113"/>
      <c r="G27" s="114"/>
      <c r="H27" s="113"/>
      <c r="I27" s="34"/>
      <c r="J27" s="35"/>
      <c r="K27" s="35"/>
      <c r="L27" s="39"/>
      <c r="M27" s="39"/>
      <c r="N27" s="35">
        <f t="shared" si="0"/>
        <v>349</v>
      </c>
    </row>
    <row r="28" spans="1:14">
      <c r="A28" s="2" t="s">
        <v>170</v>
      </c>
      <c r="B28" s="113"/>
      <c r="C28" s="113"/>
      <c r="D28" s="113"/>
      <c r="E28" s="231">
        <v>1619</v>
      </c>
      <c r="F28" s="113"/>
      <c r="G28" s="114"/>
      <c r="H28" s="113"/>
      <c r="I28" s="34"/>
      <c r="J28" s="35"/>
      <c r="K28" s="35"/>
      <c r="L28" s="39"/>
      <c r="M28" s="39"/>
      <c r="N28" s="35">
        <f t="shared" si="0"/>
        <v>1619</v>
      </c>
    </row>
    <row r="29" spans="1:14">
      <c r="A29" s="2" t="s">
        <v>171</v>
      </c>
      <c r="B29" s="113"/>
      <c r="C29" s="113"/>
      <c r="D29" s="113"/>
      <c r="E29" s="231">
        <v>2299</v>
      </c>
      <c r="F29" s="113"/>
      <c r="G29" s="114"/>
      <c r="H29" s="113"/>
      <c r="I29" s="34"/>
      <c r="J29" s="35"/>
      <c r="K29" s="35"/>
      <c r="L29" s="39"/>
      <c r="M29" s="39"/>
      <c r="N29" s="35">
        <f t="shared" si="0"/>
        <v>2299</v>
      </c>
    </row>
    <row r="30" spans="1:14">
      <c r="A30" s="2" t="s">
        <v>172</v>
      </c>
      <c r="B30" s="113"/>
      <c r="C30" s="113"/>
      <c r="D30" s="113"/>
      <c r="E30" s="231">
        <v>258</v>
      </c>
      <c r="F30" s="113"/>
      <c r="G30" s="114"/>
      <c r="H30" s="113"/>
      <c r="I30" s="34"/>
      <c r="J30" s="35"/>
      <c r="K30" s="35"/>
      <c r="L30" s="39"/>
      <c r="M30" s="39"/>
      <c r="N30" s="35">
        <f t="shared" si="0"/>
        <v>258</v>
      </c>
    </row>
    <row r="31" spans="1:14">
      <c r="A31" s="2" t="s">
        <v>180</v>
      </c>
      <c r="B31" s="113"/>
      <c r="C31" s="113"/>
      <c r="D31" s="113"/>
      <c r="E31" s="102"/>
      <c r="F31" s="231">
        <v>12600</v>
      </c>
      <c r="G31" s="114"/>
      <c r="H31" s="113"/>
      <c r="I31" s="34"/>
      <c r="J31" s="35"/>
      <c r="K31" s="35"/>
      <c r="L31" s="320">
        <v>8933</v>
      </c>
      <c r="M31" s="39"/>
      <c r="N31" s="35">
        <f t="shared" si="0"/>
        <v>21533</v>
      </c>
    </row>
    <row r="32" spans="1:14">
      <c r="A32" s="2" t="s">
        <v>209</v>
      </c>
      <c r="B32" s="113"/>
      <c r="C32" s="113"/>
      <c r="D32" s="113"/>
      <c r="E32" s="102"/>
      <c r="F32" s="113"/>
      <c r="G32" s="269">
        <v>699</v>
      </c>
      <c r="H32" s="113"/>
      <c r="I32" s="34"/>
      <c r="J32" s="35"/>
      <c r="K32" s="35"/>
      <c r="L32" s="39"/>
      <c r="M32" s="39"/>
      <c r="N32" s="35">
        <f t="shared" si="0"/>
        <v>699</v>
      </c>
    </row>
    <row r="33" spans="1:14">
      <c r="A33" s="3" t="s">
        <v>208</v>
      </c>
      <c r="B33" s="106"/>
      <c r="C33" s="106"/>
      <c r="D33" s="106"/>
      <c r="E33" s="106"/>
      <c r="F33" s="106"/>
      <c r="G33" s="271">
        <v>12299</v>
      </c>
      <c r="H33" s="106"/>
      <c r="I33" s="40"/>
      <c r="J33" s="41"/>
      <c r="K33" s="41"/>
      <c r="L33" s="42"/>
      <c r="M33" s="42"/>
      <c r="N33" s="35">
        <f t="shared" si="0"/>
        <v>12299</v>
      </c>
    </row>
    <row r="34" spans="1:14">
      <c r="A34" s="3" t="s">
        <v>195</v>
      </c>
      <c r="B34" s="106"/>
      <c r="C34" s="106"/>
      <c r="D34" s="106"/>
      <c r="E34" s="106"/>
      <c r="F34" s="106"/>
      <c r="G34" s="271">
        <v>335</v>
      </c>
      <c r="H34" s="106"/>
      <c r="I34" s="40"/>
      <c r="J34" s="41"/>
      <c r="K34" s="233">
        <v>136</v>
      </c>
      <c r="L34" s="42"/>
      <c r="M34" s="42"/>
      <c r="N34" s="35">
        <f t="shared" si="0"/>
        <v>471</v>
      </c>
    </row>
    <row r="35" spans="1:14">
      <c r="A35" s="3" t="s">
        <v>212</v>
      </c>
      <c r="B35" s="106"/>
      <c r="C35" s="106"/>
      <c r="D35" s="106"/>
      <c r="E35" s="106"/>
      <c r="F35" s="106"/>
      <c r="G35" s="197"/>
      <c r="H35" s="233">
        <v>1690</v>
      </c>
      <c r="I35" s="40"/>
      <c r="J35" s="41"/>
      <c r="K35" s="41"/>
      <c r="L35" s="42"/>
      <c r="M35" s="319">
        <v>1200</v>
      </c>
      <c r="N35" s="35">
        <f t="shared" si="0"/>
        <v>2890</v>
      </c>
    </row>
    <row r="36" spans="1:14">
      <c r="A36" s="3" t="s">
        <v>275</v>
      </c>
      <c r="B36" s="106"/>
      <c r="C36" s="106"/>
      <c r="D36" s="106"/>
      <c r="E36" s="106"/>
      <c r="F36" s="106"/>
      <c r="G36" s="197"/>
      <c r="H36" s="106"/>
      <c r="I36" s="271">
        <v>600</v>
      </c>
      <c r="J36" s="41"/>
      <c r="K36" s="41"/>
      <c r="L36" s="319">
        <f>527+2000</f>
        <v>2527</v>
      </c>
      <c r="M36" s="319">
        <f>2100+2100</f>
        <v>4200</v>
      </c>
      <c r="N36" s="35">
        <f t="shared" si="0"/>
        <v>7327</v>
      </c>
    </row>
    <row r="37" spans="1:14">
      <c r="A37" s="3" t="s">
        <v>239</v>
      </c>
      <c r="B37" s="106"/>
      <c r="C37" s="106"/>
      <c r="D37" s="106"/>
      <c r="E37" s="106"/>
      <c r="F37" s="106"/>
      <c r="G37" s="197"/>
      <c r="H37" s="106"/>
      <c r="I37" s="271">
        <v>1300</v>
      </c>
      <c r="J37" s="41"/>
      <c r="K37" s="41"/>
      <c r="L37" s="42"/>
      <c r="M37" s="42"/>
      <c r="N37" s="35">
        <f t="shared" si="0"/>
        <v>1300</v>
      </c>
    </row>
    <row r="38" spans="1:14">
      <c r="A38" s="3" t="s">
        <v>240</v>
      </c>
      <c r="B38" s="106"/>
      <c r="C38" s="106"/>
      <c r="D38" s="106"/>
      <c r="E38" s="106"/>
      <c r="F38" s="106"/>
      <c r="G38" s="197"/>
      <c r="H38" s="106"/>
      <c r="I38" s="271">
        <v>1390</v>
      </c>
      <c r="J38" s="41"/>
      <c r="K38" s="41"/>
      <c r="L38" s="42"/>
      <c r="M38" s="42"/>
      <c r="N38" s="35">
        <f t="shared" si="0"/>
        <v>1390</v>
      </c>
    </row>
    <row r="39" spans="1:14">
      <c r="A39" s="3" t="s">
        <v>247</v>
      </c>
      <c r="B39" s="106"/>
      <c r="C39" s="106"/>
      <c r="D39" s="106"/>
      <c r="E39" s="106"/>
      <c r="F39" s="106"/>
      <c r="G39" s="197"/>
      <c r="H39" s="106"/>
      <c r="I39" s="41"/>
      <c r="J39" s="233">
        <v>1500</v>
      </c>
      <c r="K39" s="41"/>
      <c r="L39" s="42"/>
      <c r="M39" s="42"/>
      <c r="N39" s="35">
        <f t="shared" si="0"/>
        <v>1500</v>
      </c>
    </row>
    <row r="40" spans="1:14">
      <c r="A40" s="3" t="s">
        <v>249</v>
      </c>
      <c r="B40" s="106"/>
      <c r="C40" s="106"/>
      <c r="D40" s="106"/>
      <c r="E40" s="106"/>
      <c r="F40" s="106"/>
      <c r="G40" s="197"/>
      <c r="H40" s="106"/>
      <c r="I40" s="41"/>
      <c r="J40" s="233">
        <v>1000</v>
      </c>
      <c r="K40" s="41"/>
      <c r="L40" s="42"/>
      <c r="M40" s="42"/>
      <c r="N40" s="35">
        <f t="shared" si="0"/>
        <v>1000</v>
      </c>
    </row>
    <row r="41" spans="1:14">
      <c r="A41" s="3" t="s">
        <v>259</v>
      </c>
      <c r="B41" s="106"/>
      <c r="C41" s="106"/>
      <c r="D41" s="106"/>
      <c r="E41" s="106"/>
      <c r="F41" s="106"/>
      <c r="G41" s="197"/>
      <c r="H41" s="106"/>
      <c r="I41" s="41"/>
      <c r="J41" s="233">
        <v>19280</v>
      </c>
      <c r="K41" s="41"/>
      <c r="L41" s="42"/>
      <c r="M41" s="42"/>
      <c r="N41" s="35">
        <f t="shared" si="0"/>
        <v>19280</v>
      </c>
    </row>
    <row r="42" spans="1:14">
      <c r="A42" s="3" t="s">
        <v>266</v>
      </c>
      <c r="B42" s="106"/>
      <c r="C42" s="106"/>
      <c r="D42" s="106"/>
      <c r="E42" s="106"/>
      <c r="F42" s="106"/>
      <c r="G42" s="197"/>
      <c r="H42" s="106"/>
      <c r="I42" s="41"/>
      <c r="J42" s="106"/>
      <c r="K42" s="233">
        <v>7380</v>
      </c>
      <c r="L42" s="42"/>
      <c r="M42" s="42"/>
      <c r="N42" s="35">
        <f t="shared" si="0"/>
        <v>7380</v>
      </c>
    </row>
    <row r="43" spans="1:14">
      <c r="A43" s="3" t="s">
        <v>252</v>
      </c>
      <c r="B43" s="106"/>
      <c r="C43" s="106"/>
      <c r="D43" s="106"/>
      <c r="E43" s="106"/>
      <c r="F43" s="106"/>
      <c r="G43" s="197"/>
      <c r="H43" s="106"/>
      <c r="I43" s="41"/>
      <c r="J43" s="233">
        <v>11750</v>
      </c>
      <c r="K43" s="41"/>
      <c r="L43" s="319">
        <v>31500</v>
      </c>
      <c r="M43" s="42"/>
      <c r="N43" s="35">
        <f t="shared" si="0"/>
        <v>43250</v>
      </c>
    </row>
    <row r="44" spans="1:14">
      <c r="A44" s="3" t="s">
        <v>254</v>
      </c>
      <c r="B44" s="106"/>
      <c r="C44" s="106"/>
      <c r="D44" s="106"/>
      <c r="E44" s="106"/>
      <c r="F44" s="106"/>
      <c r="G44" s="197"/>
      <c r="H44" s="106"/>
      <c r="I44" s="41"/>
      <c r="J44" s="233">
        <v>3350</v>
      </c>
      <c r="K44" s="41"/>
      <c r="L44" s="42"/>
      <c r="M44" s="42"/>
      <c r="N44" s="35">
        <f t="shared" si="0"/>
        <v>3350</v>
      </c>
    </row>
    <row r="45" spans="1:14">
      <c r="A45" s="3" t="s">
        <v>262</v>
      </c>
      <c r="B45" s="106"/>
      <c r="C45" s="106"/>
      <c r="D45" s="106"/>
      <c r="E45" s="106"/>
      <c r="F45" s="106"/>
      <c r="G45" s="197"/>
      <c r="H45" s="106"/>
      <c r="I45" s="41"/>
      <c r="J45" s="233">
        <v>4389</v>
      </c>
      <c r="K45" s="233">
        <v>1800</v>
      </c>
      <c r="L45" s="42"/>
      <c r="M45" s="42"/>
      <c r="N45" s="35">
        <f t="shared" si="0"/>
        <v>6189</v>
      </c>
    </row>
    <row r="46" spans="1:14">
      <c r="A46" s="216" t="s">
        <v>333</v>
      </c>
      <c r="B46" s="106"/>
      <c r="C46" s="106"/>
      <c r="D46" s="106"/>
      <c r="E46" s="106"/>
      <c r="F46" s="106"/>
      <c r="G46" s="197"/>
      <c r="H46" s="106"/>
      <c r="I46" s="41"/>
      <c r="J46" s="233">
        <v>1865.16</v>
      </c>
      <c r="K46" s="41"/>
      <c r="L46" s="42"/>
      <c r="M46" s="320">
        <v>1500</v>
      </c>
      <c r="N46" s="35">
        <f t="shared" si="0"/>
        <v>3365.16</v>
      </c>
    </row>
    <row r="47" spans="1:14">
      <c r="A47" s="3" t="s">
        <v>256</v>
      </c>
      <c r="B47" s="106"/>
      <c r="C47" s="106"/>
      <c r="D47" s="106"/>
      <c r="E47" s="106"/>
      <c r="F47" s="106"/>
      <c r="G47" s="197"/>
      <c r="H47" s="106"/>
      <c r="I47" s="41"/>
      <c r="J47" s="233">
        <v>264</v>
      </c>
      <c r="K47" s="41"/>
      <c r="L47" s="42"/>
      <c r="M47" s="42"/>
      <c r="N47" s="35">
        <f t="shared" si="0"/>
        <v>264</v>
      </c>
    </row>
    <row r="48" spans="1:14">
      <c r="A48" s="3" t="s">
        <v>257</v>
      </c>
      <c r="B48" s="106"/>
      <c r="C48" s="106"/>
      <c r="D48" s="106"/>
      <c r="E48" s="106"/>
      <c r="F48" s="106"/>
      <c r="G48" s="197"/>
      <c r="H48" s="106"/>
      <c r="I48" s="41"/>
      <c r="J48" s="233">
        <v>183</v>
      </c>
      <c r="K48" s="41"/>
      <c r="L48" s="42"/>
      <c r="M48" s="42"/>
      <c r="N48" s="35">
        <f t="shared" ref="N48:N54" si="1">SUM(B48:M48)</f>
        <v>183</v>
      </c>
    </row>
    <row r="49" spans="1:14">
      <c r="A49" s="3" t="s">
        <v>258</v>
      </c>
      <c r="B49" s="106"/>
      <c r="C49" s="106"/>
      <c r="D49" s="106"/>
      <c r="E49" s="106"/>
      <c r="F49" s="106"/>
      <c r="G49" s="197"/>
      <c r="H49" s="106"/>
      <c r="I49" s="41"/>
      <c r="J49" s="233">
        <v>3300</v>
      </c>
      <c r="K49" s="41"/>
      <c r="L49" s="42"/>
      <c r="M49" s="233">
        <v>900</v>
      </c>
      <c r="N49" s="35">
        <f t="shared" si="1"/>
        <v>4200</v>
      </c>
    </row>
    <row r="50" spans="1:14">
      <c r="A50" s="3" t="s">
        <v>261</v>
      </c>
      <c r="B50" s="106"/>
      <c r="C50" s="106"/>
      <c r="D50" s="106"/>
      <c r="E50" s="106"/>
      <c r="F50" s="106"/>
      <c r="G50" s="197"/>
      <c r="H50" s="106"/>
      <c r="I50" s="41"/>
      <c r="J50" s="41"/>
      <c r="K50" s="233">
        <v>500</v>
      </c>
      <c r="L50" s="42"/>
      <c r="M50" s="42"/>
      <c r="N50" s="35">
        <f t="shared" si="1"/>
        <v>500</v>
      </c>
    </row>
    <row r="51" spans="1:14">
      <c r="A51" s="3" t="s">
        <v>294</v>
      </c>
      <c r="B51" s="106"/>
      <c r="C51" s="106"/>
      <c r="D51" s="106"/>
      <c r="E51" s="106"/>
      <c r="F51" s="106"/>
      <c r="G51" s="197"/>
      <c r="H51" s="106"/>
      <c r="I51" s="41"/>
      <c r="J51" s="41"/>
      <c r="K51" s="41"/>
      <c r="L51" s="319">
        <v>650</v>
      </c>
      <c r="M51" s="42"/>
      <c r="N51" s="35">
        <f t="shared" si="1"/>
        <v>650</v>
      </c>
    </row>
    <row r="52" spans="1:14">
      <c r="A52" s="3" t="s">
        <v>295</v>
      </c>
      <c r="B52" s="106"/>
      <c r="C52" s="106"/>
      <c r="D52" s="106"/>
      <c r="E52" s="106"/>
      <c r="F52" s="106"/>
      <c r="G52" s="197"/>
      <c r="H52" s="106"/>
      <c r="I52" s="41"/>
      <c r="J52" s="41"/>
      <c r="K52" s="41"/>
      <c r="L52" s="319">
        <v>550</v>
      </c>
      <c r="M52" s="42"/>
      <c r="N52" s="35">
        <f t="shared" si="1"/>
        <v>550</v>
      </c>
    </row>
    <row r="53" spans="1:14">
      <c r="A53" s="3" t="s">
        <v>296</v>
      </c>
      <c r="B53" s="106"/>
      <c r="C53" s="106"/>
      <c r="D53" s="106"/>
      <c r="E53" s="106"/>
      <c r="F53" s="106"/>
      <c r="G53" s="197"/>
      <c r="H53" s="106"/>
      <c r="I53" s="41"/>
      <c r="J53" s="41"/>
      <c r="K53" s="41"/>
      <c r="L53" s="319">
        <v>380</v>
      </c>
      <c r="M53" s="42"/>
      <c r="N53" s="35">
        <f t="shared" si="1"/>
        <v>380</v>
      </c>
    </row>
    <row r="54" spans="1:14">
      <c r="A54" s="3" t="s">
        <v>304</v>
      </c>
      <c r="B54" s="106"/>
      <c r="C54" s="106"/>
      <c r="D54" s="106"/>
      <c r="E54" s="106"/>
      <c r="F54" s="106"/>
      <c r="G54" s="197"/>
      <c r="H54" s="106"/>
      <c r="I54" s="41"/>
      <c r="J54" s="41"/>
      <c r="K54" s="41"/>
      <c r="L54" s="319">
        <v>15000</v>
      </c>
      <c r="M54" s="42"/>
      <c r="N54" s="35">
        <f t="shared" si="1"/>
        <v>15000</v>
      </c>
    </row>
    <row r="55" spans="1:14">
      <c r="A55" s="4" t="s">
        <v>18</v>
      </c>
      <c r="B55" s="291">
        <f t="shared" ref="B55:N55" si="2">SUM(B4:B54)</f>
        <v>34862</v>
      </c>
      <c r="C55" s="291">
        <f t="shared" si="2"/>
        <v>44617</v>
      </c>
      <c r="D55" s="291">
        <f t="shared" si="2"/>
        <v>41772</v>
      </c>
      <c r="E55" s="291">
        <f t="shared" si="2"/>
        <v>37210.130000000005</v>
      </c>
      <c r="F55" s="291">
        <f t="shared" si="2"/>
        <v>104346.89000000001</v>
      </c>
      <c r="G55" s="291">
        <f t="shared" si="2"/>
        <v>105524.4</v>
      </c>
      <c r="H55" s="291">
        <f t="shared" si="2"/>
        <v>39955.599999999999</v>
      </c>
      <c r="I55" s="291">
        <f t="shared" si="2"/>
        <v>26915.58</v>
      </c>
      <c r="J55" s="291">
        <f t="shared" si="2"/>
        <v>67684.260000000009</v>
      </c>
      <c r="K55" s="291">
        <f t="shared" si="2"/>
        <v>30718.3</v>
      </c>
      <c r="L55" s="291">
        <f t="shared" si="2"/>
        <v>85823.15</v>
      </c>
      <c r="M55" s="291">
        <f t="shared" si="2"/>
        <v>20500</v>
      </c>
      <c r="N55" s="291">
        <f t="shared" si="2"/>
        <v>639929.31000000006</v>
      </c>
    </row>
    <row r="57" spans="1:14">
      <c r="N57" s="315">
        <f>SUM(B55:M55)-N55</f>
        <v>0</v>
      </c>
    </row>
  </sheetData>
  <phoneticPr fontId="31" type="noConversion"/>
  <pageMargins left="0.7" right="0.7" top="0.75" bottom="0.75" header="0.3" footer="0.3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N19"/>
  <sheetViews>
    <sheetView workbookViewId="0">
      <selection activeCell="A9" sqref="A9"/>
    </sheetView>
  </sheetViews>
  <sheetFormatPr defaultRowHeight="15"/>
  <cols>
    <col min="1" max="1" width="29.85546875" bestFit="1" customWidth="1"/>
    <col min="2" max="2" width="9.140625" style="36"/>
    <col min="3" max="3" width="7.85546875" style="36" customWidth="1"/>
    <col min="4" max="4" width="7.7109375" style="36" customWidth="1"/>
    <col min="5" max="5" width="9.140625" style="36"/>
    <col min="6" max="6" width="9.5703125" style="36" customWidth="1"/>
    <col min="7" max="7" width="8.140625" style="36" customWidth="1"/>
    <col min="8" max="8" width="8.28515625" style="36" customWidth="1"/>
    <col min="9" max="9" width="8.140625" style="36" customWidth="1"/>
    <col min="10" max="10" width="8.28515625" style="36" customWidth="1"/>
    <col min="11" max="11" width="8.42578125" style="36" customWidth="1"/>
    <col min="12" max="14" width="9.140625" style="36"/>
  </cols>
  <sheetData>
    <row r="1" spans="1:14">
      <c r="A1" s="20" t="s">
        <v>19</v>
      </c>
      <c r="B1" s="31"/>
      <c r="C1" s="31"/>
      <c r="D1" s="31"/>
      <c r="E1" s="31"/>
      <c r="F1" s="33" t="s">
        <v>133</v>
      </c>
      <c r="G1" s="33"/>
      <c r="H1" s="31"/>
      <c r="I1" s="31"/>
      <c r="J1" s="31"/>
      <c r="K1" s="31"/>
      <c r="L1" s="31"/>
      <c r="M1" s="31"/>
      <c r="N1" s="29"/>
    </row>
    <row r="2" spans="1:14">
      <c r="A2" s="1"/>
      <c r="B2" s="27" t="s">
        <v>1</v>
      </c>
      <c r="C2" s="27" t="s">
        <v>2</v>
      </c>
      <c r="D2" s="27" t="s">
        <v>3</v>
      </c>
      <c r="E2" s="28" t="s">
        <v>4</v>
      </c>
      <c r="F2" s="27" t="s">
        <v>5</v>
      </c>
      <c r="G2" s="28" t="s">
        <v>6</v>
      </c>
      <c r="H2" s="27" t="s">
        <v>7</v>
      </c>
      <c r="I2" s="28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/>
    </row>
    <row r="3" spans="1:14">
      <c r="A3" s="2"/>
      <c r="B3" s="35"/>
      <c r="C3" s="35"/>
      <c r="D3" s="35"/>
      <c r="E3" s="34"/>
      <c r="F3" s="35"/>
      <c r="G3" s="34"/>
      <c r="H3" s="35"/>
      <c r="I3" s="34"/>
      <c r="J3" s="35"/>
      <c r="K3" s="35"/>
      <c r="L3" s="35"/>
      <c r="M3" s="35"/>
      <c r="N3" s="35"/>
    </row>
    <row r="4" spans="1:14">
      <c r="A4" s="1" t="s">
        <v>20</v>
      </c>
      <c r="B4" s="37"/>
      <c r="C4" s="37"/>
      <c r="D4" s="37"/>
      <c r="E4" s="30"/>
      <c r="F4" s="37"/>
      <c r="G4" s="30"/>
      <c r="H4" s="37"/>
      <c r="I4" s="30"/>
      <c r="J4" s="37"/>
      <c r="K4" s="37"/>
      <c r="L4" s="44"/>
      <c r="M4" s="44"/>
      <c r="N4" s="37"/>
    </row>
    <row r="5" spans="1:14">
      <c r="A5" s="2" t="s">
        <v>21</v>
      </c>
      <c r="B5" s="230">
        <v>5318</v>
      </c>
      <c r="C5" s="230">
        <v>5318</v>
      </c>
      <c r="D5" s="230">
        <v>5318</v>
      </c>
      <c r="E5" s="230">
        <v>5594.38</v>
      </c>
      <c r="F5" s="113"/>
      <c r="G5" s="114"/>
      <c r="H5" s="113"/>
      <c r="I5" s="114"/>
      <c r="J5" s="35"/>
      <c r="K5" s="35"/>
      <c r="L5" s="39"/>
      <c r="M5" s="39"/>
      <c r="N5" s="35">
        <f t="shared" ref="N5:N15" si="0">SUM(B5:M5)</f>
        <v>21548.38</v>
      </c>
    </row>
    <row r="6" spans="1:14">
      <c r="A6" s="2" t="s">
        <v>178</v>
      </c>
      <c r="B6" s="230">
        <v>2972</v>
      </c>
      <c r="C6" s="230">
        <v>2972</v>
      </c>
      <c r="D6" s="230">
        <v>2972</v>
      </c>
      <c r="E6" s="114"/>
      <c r="F6" s="113"/>
      <c r="G6" s="114"/>
      <c r="H6" s="113"/>
      <c r="I6" s="114"/>
      <c r="J6" s="35"/>
      <c r="K6" s="35"/>
      <c r="L6" s="39"/>
      <c r="M6" s="39"/>
      <c r="N6" s="35">
        <f t="shared" si="0"/>
        <v>8916</v>
      </c>
    </row>
    <row r="7" spans="1:14">
      <c r="A7" s="244" t="s">
        <v>60</v>
      </c>
      <c r="B7" s="233">
        <v>7100</v>
      </c>
      <c r="C7" s="106"/>
      <c r="D7" s="106"/>
      <c r="E7" s="106"/>
      <c r="F7" s="106"/>
      <c r="G7" s="106"/>
      <c r="H7" s="106"/>
      <c r="I7" s="106"/>
      <c r="J7" s="41"/>
      <c r="K7" s="41"/>
      <c r="L7" s="42"/>
      <c r="M7" s="42"/>
      <c r="N7" s="35">
        <f t="shared" si="0"/>
        <v>7100</v>
      </c>
    </row>
    <row r="8" spans="1:14">
      <c r="A8" s="19" t="s">
        <v>100</v>
      </c>
      <c r="B8" s="106"/>
      <c r="C8" s="106"/>
      <c r="D8" s="233">
        <v>1640</v>
      </c>
      <c r="E8" s="233">
        <v>1640</v>
      </c>
      <c r="F8" s="106"/>
      <c r="G8" s="106"/>
      <c r="H8" s="106"/>
      <c r="I8" s="106"/>
      <c r="J8" s="41"/>
      <c r="K8" s="41"/>
      <c r="L8" s="42"/>
      <c r="M8" s="42"/>
      <c r="N8" s="35">
        <f t="shared" si="0"/>
        <v>3280</v>
      </c>
    </row>
    <row r="9" spans="1:14">
      <c r="A9" s="255" t="s">
        <v>103</v>
      </c>
      <c r="B9" s="115"/>
      <c r="C9" s="115"/>
      <c r="D9" s="115"/>
      <c r="E9" s="208"/>
      <c r="F9" s="115"/>
      <c r="G9" s="208"/>
      <c r="H9" s="115"/>
      <c r="I9" s="208"/>
      <c r="J9" s="37"/>
      <c r="K9" s="44"/>
      <c r="L9" s="38"/>
      <c r="M9" s="38"/>
      <c r="N9" s="35">
        <f t="shared" si="0"/>
        <v>0</v>
      </c>
    </row>
    <row r="10" spans="1:14">
      <c r="A10" s="210" t="s">
        <v>122</v>
      </c>
      <c r="B10" s="106"/>
      <c r="C10" s="106"/>
      <c r="D10" s="106"/>
      <c r="E10" s="106"/>
      <c r="F10" s="106"/>
      <c r="G10" s="106"/>
      <c r="H10" s="106"/>
      <c r="I10" s="106"/>
      <c r="J10" s="41"/>
      <c r="K10" s="41"/>
      <c r="L10" s="42"/>
      <c r="M10" s="42"/>
      <c r="N10" s="35">
        <f t="shared" si="0"/>
        <v>0</v>
      </c>
    </row>
    <row r="11" spans="1:14">
      <c r="A11" s="256" t="s">
        <v>155</v>
      </c>
      <c r="B11" s="106"/>
      <c r="C11" s="106"/>
      <c r="D11" s="233">
        <v>1794</v>
      </c>
      <c r="E11" s="106"/>
      <c r="F11" s="106"/>
      <c r="G11" s="106"/>
      <c r="H11" s="233">
        <v>890</v>
      </c>
      <c r="I11" s="106"/>
      <c r="J11" s="233">
        <v>3650</v>
      </c>
      <c r="K11" s="41"/>
      <c r="L11" s="42"/>
      <c r="M11" s="42"/>
      <c r="N11" s="35">
        <f t="shared" si="0"/>
        <v>6334</v>
      </c>
    </row>
    <row r="12" spans="1:14">
      <c r="A12" s="251" t="s">
        <v>160</v>
      </c>
      <c r="B12" s="115"/>
      <c r="C12" s="115"/>
      <c r="D12" s="115"/>
      <c r="E12" s="208"/>
      <c r="F12" s="230">
        <v>7500</v>
      </c>
      <c r="G12" s="275">
        <v>3000</v>
      </c>
      <c r="H12" s="115"/>
      <c r="I12" s="208"/>
      <c r="J12" s="37"/>
      <c r="K12" s="37"/>
      <c r="L12" s="38"/>
      <c r="M12" s="38"/>
      <c r="N12" s="35">
        <f t="shared" si="0"/>
        <v>10500</v>
      </c>
    </row>
    <row r="13" spans="1:14">
      <c r="A13" s="3" t="s">
        <v>179</v>
      </c>
      <c r="B13" s="106"/>
      <c r="C13" s="106"/>
      <c r="D13" s="106"/>
      <c r="E13" s="197"/>
      <c r="F13" s="230">
        <v>19300</v>
      </c>
      <c r="G13" s="197"/>
      <c r="H13" s="106"/>
      <c r="I13" s="197"/>
      <c r="J13" s="41"/>
      <c r="K13" s="41"/>
      <c r="L13" s="42"/>
      <c r="M13" s="42"/>
      <c r="N13" s="35">
        <f t="shared" si="0"/>
        <v>19300</v>
      </c>
    </row>
    <row r="14" spans="1:14">
      <c r="A14" s="2" t="s">
        <v>176</v>
      </c>
      <c r="B14" s="113"/>
      <c r="C14" s="113"/>
      <c r="D14" s="113"/>
      <c r="E14" s="114"/>
      <c r="F14" s="230">
        <v>5400</v>
      </c>
      <c r="G14" s="114"/>
      <c r="H14" s="113"/>
      <c r="I14" s="114"/>
      <c r="J14" s="35"/>
      <c r="K14" s="35"/>
      <c r="L14" s="39"/>
      <c r="M14" s="39"/>
      <c r="N14" s="35">
        <f t="shared" si="0"/>
        <v>5400</v>
      </c>
    </row>
    <row r="15" spans="1:14">
      <c r="A15" s="65" t="s">
        <v>274</v>
      </c>
      <c r="B15" s="276"/>
      <c r="C15" s="276"/>
      <c r="D15" s="276"/>
      <c r="E15" s="276"/>
      <c r="F15" s="276"/>
      <c r="G15" s="276"/>
      <c r="H15" s="276"/>
      <c r="I15" s="276"/>
      <c r="J15" s="276"/>
      <c r="K15" s="318">
        <v>10000</v>
      </c>
      <c r="L15" s="276"/>
      <c r="M15" s="276"/>
      <c r="N15" s="35">
        <f t="shared" si="0"/>
        <v>10000</v>
      </c>
    </row>
    <row r="17" spans="1:14">
      <c r="A17" s="206" t="s">
        <v>18</v>
      </c>
      <c r="B17" s="300">
        <f>SUM(B4:B15)</f>
        <v>15390</v>
      </c>
      <c r="C17" s="300">
        <f t="shared" ref="C17:M17" si="1">SUM(C4:C15)</f>
        <v>8290</v>
      </c>
      <c r="D17" s="300">
        <f t="shared" si="1"/>
        <v>11724</v>
      </c>
      <c r="E17" s="300">
        <f t="shared" si="1"/>
        <v>7234.38</v>
      </c>
      <c r="F17" s="300">
        <f t="shared" si="1"/>
        <v>32200</v>
      </c>
      <c r="G17" s="300">
        <f t="shared" si="1"/>
        <v>3000</v>
      </c>
      <c r="H17" s="300">
        <f t="shared" si="1"/>
        <v>890</v>
      </c>
      <c r="I17" s="300">
        <f t="shared" si="1"/>
        <v>0</v>
      </c>
      <c r="J17" s="300">
        <f t="shared" si="1"/>
        <v>3650</v>
      </c>
      <c r="K17" s="300">
        <f t="shared" si="1"/>
        <v>10000</v>
      </c>
      <c r="L17" s="300">
        <f t="shared" si="1"/>
        <v>0</v>
      </c>
      <c r="M17" s="300">
        <f t="shared" si="1"/>
        <v>0</v>
      </c>
      <c r="N17" s="300">
        <f>SUM(N4:N15)</f>
        <v>92378.38</v>
      </c>
    </row>
    <row r="19" spans="1:14">
      <c r="N19" s="315">
        <f>SUM(B17:M17)-N17</f>
        <v>0</v>
      </c>
    </row>
  </sheetData>
  <phoneticPr fontId="31" type="noConversion"/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10"/>
  <sheetViews>
    <sheetView workbookViewId="0">
      <selection activeCell="M6" sqref="M6"/>
    </sheetView>
  </sheetViews>
  <sheetFormatPr defaultRowHeight="15"/>
  <cols>
    <col min="1" max="1" width="16.42578125" bestFit="1" customWidth="1"/>
    <col min="2" max="2" width="11.140625" style="36" customWidth="1"/>
    <col min="3" max="3" width="9.140625" style="36"/>
    <col min="4" max="4" width="9.7109375" style="36" customWidth="1"/>
    <col min="5" max="5" width="10.28515625" style="36" customWidth="1"/>
    <col min="6" max="6" width="9.42578125" style="36" customWidth="1"/>
    <col min="7" max="7" width="8" style="36" customWidth="1"/>
    <col min="8" max="14" width="9.140625" style="36"/>
  </cols>
  <sheetData>
    <row r="1" spans="1:14">
      <c r="A1" s="20" t="s">
        <v>22</v>
      </c>
      <c r="B1" s="31"/>
      <c r="C1" s="31"/>
      <c r="D1" s="31"/>
      <c r="E1" s="31"/>
      <c r="F1" s="33" t="s">
        <v>133</v>
      </c>
      <c r="G1" s="33"/>
      <c r="H1" s="31"/>
      <c r="I1" s="31"/>
      <c r="J1" s="31"/>
      <c r="K1" s="31"/>
      <c r="L1" s="31"/>
      <c r="M1" s="31"/>
      <c r="N1" s="29"/>
    </row>
    <row r="2" spans="1:14">
      <c r="A2" s="1"/>
      <c r="B2" s="27" t="s">
        <v>1</v>
      </c>
      <c r="C2" s="27" t="s">
        <v>2</v>
      </c>
      <c r="D2" s="27" t="s">
        <v>3</v>
      </c>
      <c r="E2" s="28" t="s">
        <v>4</v>
      </c>
      <c r="F2" s="27" t="s">
        <v>5</v>
      </c>
      <c r="G2" s="28" t="s">
        <v>6</v>
      </c>
      <c r="H2" s="27" t="s">
        <v>7</v>
      </c>
      <c r="I2" s="28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/>
    </row>
    <row r="3" spans="1:14">
      <c r="A3" s="2"/>
      <c r="B3" s="35"/>
      <c r="C3" s="35"/>
      <c r="D3" s="35"/>
      <c r="E3" s="34"/>
      <c r="F3" s="35"/>
      <c r="G3" s="34"/>
      <c r="H3" s="35"/>
      <c r="I3" s="34"/>
      <c r="J3" s="35"/>
      <c r="K3" s="35"/>
      <c r="L3" s="35"/>
      <c r="M3" s="35"/>
      <c r="N3" s="35"/>
    </row>
    <row r="4" spans="1:14">
      <c r="A4" s="7" t="s">
        <v>64</v>
      </c>
      <c r="B4" s="106"/>
      <c r="C4" s="233">
        <v>6432</v>
      </c>
      <c r="D4" s="233">
        <v>5687</v>
      </c>
      <c r="E4" s="233">
        <v>4500</v>
      </c>
      <c r="F4" s="233">
        <v>4500</v>
      </c>
      <c r="G4" s="233">
        <v>5000</v>
      </c>
      <c r="H4" s="233">
        <f>5000+2000+5000</f>
        <v>12000</v>
      </c>
      <c r="I4" s="233">
        <v>5000</v>
      </c>
      <c r="J4" s="233">
        <v>6000</v>
      </c>
      <c r="K4" s="233">
        <v>6000</v>
      </c>
      <c r="L4" s="233">
        <v>6000</v>
      </c>
      <c r="M4" s="233">
        <v>6000</v>
      </c>
      <c r="N4" s="41">
        <f>SUM(B4:M4)</f>
        <v>67119</v>
      </c>
    </row>
    <row r="5" spans="1:14">
      <c r="A5" s="210" t="s">
        <v>55</v>
      </c>
      <c r="B5" s="233">
        <v>6235</v>
      </c>
      <c r="C5" s="106"/>
      <c r="D5" s="233">
        <v>479</v>
      </c>
      <c r="E5" s="276"/>
      <c r="F5" s="276"/>
      <c r="G5" s="106"/>
      <c r="H5" s="106"/>
      <c r="I5" s="106"/>
      <c r="J5" s="41"/>
      <c r="K5" s="41"/>
      <c r="L5" s="41"/>
      <c r="M5" s="42"/>
      <c r="N5" s="41">
        <f>SUM(B5:M5)</f>
        <v>6714</v>
      </c>
    </row>
    <row r="6" spans="1:14">
      <c r="A6" s="7" t="s">
        <v>140</v>
      </c>
      <c r="B6" s="233">
        <v>2000</v>
      </c>
      <c r="C6" s="233">
        <v>2000</v>
      </c>
      <c r="D6" s="233">
        <v>2000</v>
      </c>
      <c r="E6" s="233">
        <v>2000</v>
      </c>
      <c r="F6" s="233">
        <v>2000</v>
      </c>
      <c r="G6" s="233">
        <v>2000</v>
      </c>
      <c r="H6" s="233">
        <v>2000</v>
      </c>
      <c r="I6" s="233">
        <v>2000</v>
      </c>
      <c r="J6" s="233">
        <v>2000</v>
      </c>
      <c r="K6" s="233">
        <v>2000</v>
      </c>
      <c r="L6" s="233">
        <v>2000</v>
      </c>
      <c r="M6" s="233">
        <v>2000</v>
      </c>
      <c r="N6" s="41">
        <f>SUM(B6:M6)</f>
        <v>24000</v>
      </c>
    </row>
    <row r="7" spans="1:14">
      <c r="A7" s="210"/>
      <c r="B7" s="106"/>
      <c r="C7" s="106"/>
      <c r="D7" s="106"/>
      <c r="E7" s="106"/>
      <c r="F7" s="106"/>
      <c r="G7" s="106"/>
      <c r="H7" s="106"/>
      <c r="I7" s="106"/>
      <c r="J7" s="41"/>
      <c r="K7" s="41"/>
      <c r="L7" s="42"/>
      <c r="M7" s="42"/>
      <c r="N7" s="41">
        <f>SUM(B7:M7)</f>
        <v>0</v>
      </c>
    </row>
    <row r="8" spans="1:14">
      <c r="A8" s="277" t="s">
        <v>18</v>
      </c>
      <c r="B8" s="300">
        <f t="shared" ref="B8:N8" si="0">SUM(B4:B7)</f>
        <v>8235</v>
      </c>
      <c r="C8" s="301">
        <f t="shared" si="0"/>
        <v>8432</v>
      </c>
      <c r="D8" s="301">
        <f t="shared" si="0"/>
        <v>8166</v>
      </c>
      <c r="E8" s="301">
        <f t="shared" si="0"/>
        <v>6500</v>
      </c>
      <c r="F8" s="301">
        <f t="shared" si="0"/>
        <v>6500</v>
      </c>
      <c r="G8" s="301">
        <f t="shared" si="0"/>
        <v>7000</v>
      </c>
      <c r="H8" s="301">
        <f t="shared" si="0"/>
        <v>14000</v>
      </c>
      <c r="I8" s="301">
        <f t="shared" si="0"/>
        <v>7000</v>
      </c>
      <c r="J8" s="301">
        <f t="shared" si="0"/>
        <v>8000</v>
      </c>
      <c r="K8" s="301">
        <f t="shared" si="0"/>
        <v>8000</v>
      </c>
      <c r="L8" s="301">
        <f t="shared" si="0"/>
        <v>8000</v>
      </c>
      <c r="M8" s="301">
        <f t="shared" si="0"/>
        <v>8000</v>
      </c>
      <c r="N8" s="301">
        <f t="shared" si="0"/>
        <v>97833</v>
      </c>
    </row>
    <row r="10" spans="1:14">
      <c r="N10" s="315">
        <f>SUM(B8:M8)-N8</f>
        <v>0</v>
      </c>
    </row>
  </sheetData>
  <phoneticPr fontId="31" type="noConversion"/>
  <pageMargins left="0.7" right="0.7" top="0.75" bottom="0.75" header="0.3" footer="0.3"/>
  <pageSetup paperSize="9"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1"/>
  <sheetViews>
    <sheetView workbookViewId="0">
      <selection activeCell="S8" sqref="S8"/>
    </sheetView>
  </sheetViews>
  <sheetFormatPr defaultRowHeight="15"/>
  <cols>
    <col min="1" max="1" width="27.28515625" bestFit="1" customWidth="1"/>
    <col min="3" max="3" width="9.28515625" customWidth="1"/>
    <col min="4" max="4" width="9.42578125" customWidth="1"/>
    <col min="5" max="5" width="10.42578125" customWidth="1"/>
    <col min="6" max="6" width="10.140625" customWidth="1"/>
    <col min="7" max="7" width="8" customWidth="1"/>
    <col min="8" max="8" width="8.85546875" customWidth="1"/>
    <col min="12" max="12" width="10.42578125" customWidth="1"/>
  </cols>
  <sheetData>
    <row r="1" spans="1:14">
      <c r="A1" s="20" t="s">
        <v>24</v>
      </c>
      <c r="B1" s="2"/>
      <c r="C1" s="2"/>
      <c r="D1" s="2"/>
      <c r="E1" s="2"/>
      <c r="F1" s="4" t="s">
        <v>138</v>
      </c>
      <c r="G1" s="4"/>
      <c r="H1" s="2"/>
      <c r="I1" s="2"/>
      <c r="J1" s="2"/>
      <c r="K1" s="2"/>
      <c r="L1" s="2"/>
      <c r="M1" s="2"/>
      <c r="N1" s="1"/>
    </row>
    <row r="2" spans="1:14">
      <c r="A2" s="1"/>
      <c r="B2" s="27" t="s">
        <v>1</v>
      </c>
      <c r="C2" s="27" t="s">
        <v>2</v>
      </c>
      <c r="D2" s="27" t="s">
        <v>3</v>
      </c>
      <c r="E2" s="28" t="s">
        <v>4</v>
      </c>
      <c r="F2" s="27" t="s">
        <v>5</v>
      </c>
      <c r="G2" s="28" t="s">
        <v>6</v>
      </c>
      <c r="H2" s="27" t="s">
        <v>7</v>
      </c>
      <c r="I2" s="28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07" t="s">
        <v>18</v>
      </c>
    </row>
    <row r="3" spans="1:14" ht="25.5" customHeight="1">
      <c r="A3" s="250" t="s">
        <v>24</v>
      </c>
      <c r="B3" s="228">
        <v>557830</v>
      </c>
      <c r="C3" s="228">
        <v>615895</v>
      </c>
      <c r="D3" s="228">
        <v>463962</v>
      </c>
      <c r="E3" s="228">
        <f>E8-E4</f>
        <v>468325.27</v>
      </c>
      <c r="F3" s="228">
        <f>F8-F4</f>
        <v>500619.31000000006</v>
      </c>
      <c r="G3" s="228">
        <f>G8-G4</f>
        <v>511690.39000000007</v>
      </c>
      <c r="H3" s="228">
        <f>H8-H4</f>
        <v>487886.9</v>
      </c>
      <c r="I3" s="274">
        <f>573500-9000+98000+29877</f>
        <v>692377</v>
      </c>
      <c r="J3" s="228">
        <f>524500-9000</f>
        <v>515500</v>
      </c>
      <c r="K3" s="228">
        <f>607554.28-34375-34825-9000</f>
        <v>529354.28</v>
      </c>
      <c r="L3" s="228">
        <v>489034.63</v>
      </c>
      <c r="M3" s="228">
        <v>490000</v>
      </c>
      <c r="N3" s="205">
        <f>SUM(B3:M3)</f>
        <v>6322474.7800000003</v>
      </c>
    </row>
    <row r="4" spans="1:14" ht="26.25" customHeight="1">
      <c r="A4" s="260" t="s">
        <v>134</v>
      </c>
      <c r="B4" s="228">
        <v>71459</v>
      </c>
      <c r="C4" s="228">
        <v>74273</v>
      </c>
      <c r="D4" s="228">
        <v>73713</v>
      </c>
      <c r="E4" s="228">
        <v>47607.13</v>
      </c>
      <c r="F4" s="228">
        <v>58784.1</v>
      </c>
      <c r="G4" s="228">
        <v>53166.67</v>
      </c>
      <c r="H4" s="228">
        <v>43500</v>
      </c>
      <c r="I4" s="274">
        <f>11250+11250+9000</f>
        <v>31500</v>
      </c>
      <c r="J4" s="274">
        <f>11250+11250+9000</f>
        <v>31500</v>
      </c>
      <c r="K4" s="274">
        <f>11250+11250+9000+11875</f>
        <v>43375</v>
      </c>
      <c r="L4" s="228">
        <v>21880.2</v>
      </c>
      <c r="M4" s="228">
        <v>40000</v>
      </c>
      <c r="N4" s="205">
        <f>SUM(B4:M4)</f>
        <v>590758.09999999986</v>
      </c>
    </row>
    <row r="5" spans="1:14">
      <c r="A5" s="5" t="s">
        <v>238</v>
      </c>
      <c r="B5" s="7"/>
      <c r="C5" s="7"/>
      <c r="D5" s="7"/>
      <c r="E5" s="6"/>
      <c r="F5" s="7"/>
      <c r="G5" s="6"/>
      <c r="H5" s="7"/>
      <c r="I5" s="273">
        <v>35000</v>
      </c>
      <c r="J5" s="235">
        <v>17647</v>
      </c>
      <c r="K5" s="235">
        <f>30000+10000</f>
        <v>40000</v>
      </c>
      <c r="L5" s="313">
        <v>30000</v>
      </c>
      <c r="M5" s="313">
        <v>30000</v>
      </c>
      <c r="N5" s="205">
        <f>SUM(B5:M5)</f>
        <v>152647</v>
      </c>
    </row>
    <row r="6" spans="1:14">
      <c r="A6" s="4" t="s">
        <v>18</v>
      </c>
      <c r="B6" s="292">
        <f>SUM(B3:B5)</f>
        <v>629289</v>
      </c>
      <c r="C6" s="292">
        <f>SUM(C3:C5)</f>
        <v>690168</v>
      </c>
      <c r="D6" s="292">
        <f>SUM(D3:D5)</f>
        <v>537675</v>
      </c>
      <c r="E6" s="292">
        <f t="shared" ref="E6:N6" si="0">SUM(E3:E5)</f>
        <v>515932.4</v>
      </c>
      <c r="F6" s="292">
        <f t="shared" si="0"/>
        <v>559403.41</v>
      </c>
      <c r="G6" s="292">
        <f t="shared" si="0"/>
        <v>564857.06000000006</v>
      </c>
      <c r="H6" s="292">
        <f t="shared" si="0"/>
        <v>531386.9</v>
      </c>
      <c r="I6" s="292">
        <f t="shared" si="0"/>
        <v>758877</v>
      </c>
      <c r="J6" s="292">
        <f t="shared" si="0"/>
        <v>564647</v>
      </c>
      <c r="K6" s="292">
        <f t="shared" si="0"/>
        <v>612729.28</v>
      </c>
      <c r="L6" s="292">
        <f t="shared" si="0"/>
        <v>540914.83000000007</v>
      </c>
      <c r="M6" s="292">
        <f t="shared" si="0"/>
        <v>560000</v>
      </c>
      <c r="N6" s="292">
        <f t="shared" si="0"/>
        <v>7065879.8799999999</v>
      </c>
    </row>
    <row r="8" spans="1:14">
      <c r="E8">
        <v>515932.4</v>
      </c>
      <c r="F8">
        <v>559403.41</v>
      </c>
      <c r="G8">
        <v>564857.06000000006</v>
      </c>
      <c r="H8">
        <v>531386.9</v>
      </c>
      <c r="N8" s="315">
        <f>SUM(B6:M6)-N6</f>
        <v>0</v>
      </c>
    </row>
    <row r="9" spans="1:14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</row>
    <row r="10" spans="1:14" ht="18.75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</row>
    <row r="11" spans="1:14" ht="18.75">
      <c r="A11" s="258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9"/>
    </row>
  </sheetData>
  <phoneticPr fontId="31" type="noConversion"/>
  <pageMargins left="0.7" right="0.7" top="0.75" bottom="0.75" header="0.3" footer="0.3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7"/>
  <sheetViews>
    <sheetView workbookViewId="0">
      <selection activeCell="M4" sqref="M4"/>
    </sheetView>
  </sheetViews>
  <sheetFormatPr defaultRowHeight="15"/>
  <cols>
    <col min="1" max="1" width="20.28515625" style="36" bestFit="1" customWidth="1"/>
    <col min="2" max="2" width="10.28515625" style="36" customWidth="1"/>
    <col min="3" max="3" width="10.7109375" style="36" customWidth="1"/>
    <col min="4" max="4" width="8.5703125" style="36" customWidth="1"/>
    <col min="5" max="5" width="10" style="36" customWidth="1"/>
    <col min="6" max="14" width="9.140625" style="36"/>
  </cols>
  <sheetData>
    <row r="1" spans="1:14">
      <c r="A1" s="32" t="s">
        <v>25</v>
      </c>
      <c r="B1" s="31"/>
      <c r="C1" s="31"/>
      <c r="D1" s="31"/>
      <c r="E1" s="31"/>
      <c r="F1" s="33" t="s">
        <v>133</v>
      </c>
      <c r="G1" s="33"/>
      <c r="H1" s="31"/>
      <c r="I1" s="31"/>
      <c r="J1" s="31"/>
      <c r="K1" s="31"/>
      <c r="L1" s="31"/>
      <c r="M1" s="31"/>
      <c r="N1" s="29"/>
    </row>
    <row r="2" spans="1:14">
      <c r="A2" s="29"/>
      <c r="B2" s="27" t="s">
        <v>1</v>
      </c>
      <c r="C2" s="27" t="s">
        <v>2</v>
      </c>
      <c r="D2" s="27" t="s">
        <v>3</v>
      </c>
      <c r="E2" s="28" t="s">
        <v>4</v>
      </c>
      <c r="F2" s="27" t="s">
        <v>5</v>
      </c>
      <c r="G2" s="28" t="s">
        <v>6</v>
      </c>
      <c r="H2" s="27" t="s">
        <v>7</v>
      </c>
      <c r="I2" s="28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/>
    </row>
    <row r="3" spans="1:14" ht="29.25" customHeight="1">
      <c r="A3" s="261" t="s">
        <v>118</v>
      </c>
      <c r="B3" s="233"/>
      <c r="C3" s="106">
        <v>0</v>
      </c>
      <c r="D3" s="233">
        <v>58000</v>
      </c>
      <c r="E3" s="106">
        <v>0</v>
      </c>
      <c r="F3" s="233">
        <v>116152</v>
      </c>
      <c r="G3" s="106"/>
      <c r="H3" s="233">
        <v>52500</v>
      </c>
      <c r="I3" s="106"/>
      <c r="J3" s="41"/>
      <c r="K3" s="41"/>
      <c r="L3" s="41"/>
      <c r="M3" s="327"/>
      <c r="N3" s="41">
        <f>SUM(B3:M3)</f>
        <v>226652</v>
      </c>
    </row>
    <row r="4" spans="1:14">
      <c r="A4" s="261" t="s">
        <v>246</v>
      </c>
      <c r="B4" s="106"/>
      <c r="C4" s="106"/>
      <c r="D4" s="106"/>
      <c r="E4" s="106"/>
      <c r="F4" s="106"/>
      <c r="G4" s="106"/>
      <c r="H4" s="106"/>
      <c r="I4" s="233">
        <f>87757.35</f>
        <v>87757.35</v>
      </c>
      <c r="J4" s="233">
        <v>14177.63</v>
      </c>
      <c r="K4" s="233">
        <v>34825</v>
      </c>
      <c r="L4" s="233">
        <v>11595.24</v>
      </c>
      <c r="M4" s="233">
        <v>40000</v>
      </c>
      <c r="N4" s="41">
        <f>SUM(B4:M4)</f>
        <v>188355.22</v>
      </c>
    </row>
    <row r="5" spans="1:14">
      <c r="A5" s="33" t="s">
        <v>18</v>
      </c>
      <c r="B5" s="291">
        <f>SUM(B3:B4)</f>
        <v>0</v>
      </c>
      <c r="C5" s="291">
        <f t="shared" ref="C5:M5" si="0">SUM(C3:C4)</f>
        <v>0</v>
      </c>
      <c r="D5" s="291">
        <f t="shared" si="0"/>
        <v>58000</v>
      </c>
      <c r="E5" s="291">
        <f t="shared" si="0"/>
        <v>0</v>
      </c>
      <c r="F5" s="291">
        <f t="shared" si="0"/>
        <v>116152</v>
      </c>
      <c r="G5" s="291">
        <f t="shared" si="0"/>
        <v>0</v>
      </c>
      <c r="H5" s="291">
        <f t="shared" si="0"/>
        <v>52500</v>
      </c>
      <c r="I5" s="291">
        <f t="shared" si="0"/>
        <v>87757.35</v>
      </c>
      <c r="J5" s="291">
        <f t="shared" si="0"/>
        <v>14177.63</v>
      </c>
      <c r="K5" s="291">
        <f t="shared" si="0"/>
        <v>34825</v>
      </c>
      <c r="L5" s="291">
        <f t="shared" si="0"/>
        <v>11595.24</v>
      </c>
      <c r="M5" s="291">
        <f t="shared" si="0"/>
        <v>40000</v>
      </c>
      <c r="N5" s="291">
        <f>SUM(N3:N4)</f>
        <v>415007.22</v>
      </c>
    </row>
    <row r="7" spans="1:14">
      <c r="N7" s="315">
        <f>SUM(B5:M5)-N5</f>
        <v>0</v>
      </c>
    </row>
  </sheetData>
  <phoneticPr fontId="31" type="noConversion"/>
  <pageMargins left="0.7" right="0.7" top="0.75" bottom="0.75" header="0.3" footer="0.3"/>
  <pageSetup paperSize="9" scale="9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N13"/>
  <sheetViews>
    <sheetView workbookViewId="0">
      <selection activeCell="M3" sqref="M3"/>
    </sheetView>
  </sheetViews>
  <sheetFormatPr defaultRowHeight="15"/>
  <cols>
    <col min="1" max="1" width="28.28515625" bestFit="1" customWidth="1"/>
    <col min="2" max="2" width="7.5703125" customWidth="1"/>
    <col min="3" max="4" width="8" customWidth="1"/>
    <col min="5" max="5" width="9" customWidth="1"/>
    <col min="6" max="6" width="9.28515625" customWidth="1"/>
  </cols>
  <sheetData>
    <row r="1" spans="1:14">
      <c r="A1" s="20" t="s">
        <v>26</v>
      </c>
      <c r="B1" s="2"/>
      <c r="C1" s="2"/>
      <c r="D1" s="2"/>
      <c r="E1" s="2"/>
      <c r="F1" s="4" t="s">
        <v>133</v>
      </c>
      <c r="G1" s="4"/>
      <c r="H1" s="2"/>
      <c r="I1" s="2"/>
      <c r="J1" s="2"/>
      <c r="K1" s="2"/>
      <c r="L1" s="2"/>
      <c r="M1" s="2"/>
      <c r="N1" s="1"/>
    </row>
    <row r="2" spans="1:14">
      <c r="A2" s="1"/>
      <c r="B2" s="27" t="s">
        <v>1</v>
      </c>
      <c r="C2" s="27" t="s">
        <v>2</v>
      </c>
      <c r="D2" s="27" t="s">
        <v>3</v>
      </c>
      <c r="E2" s="28" t="s">
        <v>4</v>
      </c>
      <c r="F2" s="27" t="s">
        <v>5</v>
      </c>
      <c r="G2" s="28" t="s">
        <v>6</v>
      </c>
      <c r="H2" s="27" t="s">
        <v>7</v>
      </c>
      <c r="I2" s="28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/>
    </row>
    <row r="3" spans="1:14">
      <c r="A3" s="2" t="s">
        <v>231</v>
      </c>
      <c r="B3" s="228">
        <v>210787</v>
      </c>
      <c r="C3" s="228">
        <v>201379</v>
      </c>
      <c r="D3" s="228">
        <v>151376</v>
      </c>
      <c r="E3" s="228">
        <v>149456.57</v>
      </c>
      <c r="F3" s="228">
        <f>195496.71+5355</f>
        <v>200851.71</v>
      </c>
      <c r="G3" s="274">
        <v>139350.85999999999</v>
      </c>
      <c r="H3" s="228">
        <v>149806.68</v>
      </c>
      <c r="I3" s="274">
        <f>200082+10089</f>
        <v>210171</v>
      </c>
      <c r="J3" s="228">
        <f>123407.27+14989.72+1121.89+22684.59</f>
        <v>162203.47</v>
      </c>
      <c r="K3" s="228">
        <v>178522.02</v>
      </c>
      <c r="L3" s="228">
        <v>147198.64000000001</v>
      </c>
      <c r="M3" s="228">
        <f ca="1">0.3*('з пл'!M3+'з пл'!M4+'премиальный фонд'!M4)</f>
        <v>171000</v>
      </c>
      <c r="N3" s="9">
        <f>SUM(B3:M3)</f>
        <v>2072102.9500000002</v>
      </c>
    </row>
    <row r="4" spans="1:14">
      <c r="A4" s="7" t="s">
        <v>181</v>
      </c>
      <c r="B4" s="7"/>
      <c r="C4" s="7"/>
      <c r="D4" s="7"/>
      <c r="E4" s="235">
        <f>49.32+117.81+693.02+92.16+8.31+23.47+500+500+500+500+7000+7</f>
        <v>9991.09</v>
      </c>
      <c r="F4" s="210"/>
      <c r="G4" s="210"/>
      <c r="H4" s="235">
        <v>500</v>
      </c>
      <c r="I4" s="210"/>
      <c r="J4" s="7"/>
      <c r="K4" s="235">
        <v>4777.01</v>
      </c>
      <c r="L4" s="235">
        <v>8.91</v>
      </c>
      <c r="M4" s="18"/>
      <c r="N4" s="9">
        <f>SUM(B4:M4)</f>
        <v>15277.01</v>
      </c>
    </row>
    <row r="5" spans="1:14">
      <c r="A5" s="4" t="s">
        <v>18</v>
      </c>
      <c r="B5" s="292">
        <f t="shared" ref="B5:N5" si="0">SUM(B3:B4)</f>
        <v>210787</v>
      </c>
      <c r="C5" s="292">
        <f t="shared" si="0"/>
        <v>201379</v>
      </c>
      <c r="D5" s="292">
        <f t="shared" si="0"/>
        <v>151376</v>
      </c>
      <c r="E5" s="292">
        <f t="shared" si="0"/>
        <v>159447.66</v>
      </c>
      <c r="F5" s="292">
        <f t="shared" si="0"/>
        <v>200851.71</v>
      </c>
      <c r="G5" s="292">
        <f t="shared" si="0"/>
        <v>139350.85999999999</v>
      </c>
      <c r="H5" s="292">
        <f t="shared" si="0"/>
        <v>150306.68</v>
      </c>
      <c r="I5" s="292">
        <f t="shared" si="0"/>
        <v>210171</v>
      </c>
      <c r="J5" s="292">
        <f t="shared" si="0"/>
        <v>162203.47</v>
      </c>
      <c r="K5" s="292">
        <f t="shared" si="0"/>
        <v>183299.03</v>
      </c>
      <c r="L5" s="292">
        <f t="shared" si="0"/>
        <v>147207.55000000002</v>
      </c>
      <c r="M5" s="292">
        <f t="shared" si="0"/>
        <v>171000</v>
      </c>
      <c r="N5" s="292">
        <f t="shared" si="0"/>
        <v>2087379.9600000002</v>
      </c>
    </row>
    <row r="7" spans="1:14">
      <c r="I7" t="s">
        <v>260</v>
      </c>
      <c r="N7" s="315">
        <f>SUM(B5:M5)-N5</f>
        <v>0</v>
      </c>
    </row>
    <row r="8" spans="1:14" ht="15.75" hidden="1">
      <c r="A8" s="367"/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</row>
    <row r="9" spans="1:14" ht="15.75" hidden="1">
      <c r="A9" s="367"/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</row>
    <row r="10" spans="1:14" hidden="1"/>
    <row r="11" spans="1:14" ht="15.75" hidden="1">
      <c r="A11" s="91"/>
      <c r="B11" s="111"/>
      <c r="C11" s="111"/>
      <c r="D11" s="111"/>
      <c r="E11" s="111"/>
      <c r="F11" s="111"/>
      <c r="G11" s="111"/>
      <c r="H11" s="111"/>
      <c r="I11" s="111"/>
      <c r="J11" s="111"/>
      <c r="K11" s="111"/>
    </row>
    <row r="12" spans="1:14" ht="15.75" hidden="1">
      <c r="A12" s="365"/>
      <c r="B12" s="365"/>
      <c r="C12" s="365"/>
      <c r="D12" s="365"/>
      <c r="E12" s="365"/>
      <c r="F12" s="365"/>
      <c r="G12" s="365"/>
      <c r="H12" s="365"/>
      <c r="I12" s="365"/>
      <c r="J12" s="365"/>
      <c r="K12" s="365"/>
      <c r="L12" s="366"/>
    </row>
    <row r="13" spans="1:14" hidden="1"/>
  </sheetData>
  <mergeCells count="3">
    <mergeCell ref="A12:L12"/>
    <mergeCell ref="A8:L8"/>
    <mergeCell ref="A9:L9"/>
  </mergeCells>
  <phoneticPr fontId="31" type="noConversion"/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ВСЕ затраты за 6 мес.</vt:lpstr>
      <vt:lpstr>ВСЕ затраты в 2018-2019 гг</vt:lpstr>
      <vt:lpstr>ВСЕ затраты в 2016-2017 гг (2)</vt:lpstr>
      <vt:lpstr>общехоз расходы</vt:lpstr>
      <vt:lpstr>программ обеспечение</vt:lpstr>
      <vt:lpstr>услуги связи</vt:lpstr>
      <vt:lpstr>з пл</vt:lpstr>
      <vt:lpstr>премиальный фонд</vt:lpstr>
      <vt:lpstr>налог с ФОТ</vt:lpstr>
      <vt:lpstr>приобрт инвентаря и оборуд</vt:lpstr>
      <vt:lpstr>вывоз мусора</vt:lpstr>
      <vt:lpstr>сод охраны</vt:lpstr>
      <vt:lpstr>содерж газ оборуд</vt:lpstr>
      <vt:lpstr>сод сетей водоснабжения</vt:lpstr>
      <vt:lpstr>Ремонт водопров. (закольцовка)</vt:lpstr>
      <vt:lpstr>сод сетей канализации</vt:lpstr>
      <vt:lpstr>сод сетей электроснабжения</vt:lpstr>
      <vt:lpstr>электроэнергия на общ нужды</vt:lpstr>
      <vt:lpstr>технич потери в сетях</vt:lpstr>
      <vt:lpstr>содерж дорог</vt:lpstr>
      <vt:lpstr>Ямочный ремонт дорог</vt:lpstr>
      <vt:lpstr>благоустройство</vt:lpstr>
      <vt:lpstr>резервный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user</cp:lastModifiedBy>
  <cp:lastPrinted>2018-11-13T15:11:02Z</cp:lastPrinted>
  <dcterms:created xsi:type="dcterms:W3CDTF">2015-11-16T11:04:42Z</dcterms:created>
  <dcterms:modified xsi:type="dcterms:W3CDTF">2019-05-23T21:00:46Z</dcterms:modified>
</cp:coreProperties>
</file>