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</sheets>
  <definedNames>
    <definedName name="_xlnm.Print_Area" localSheetId="1">'ВСЕ затраты'!$A$1:$V$39</definedName>
  </definedNames>
  <calcPr calcId="114210"/>
</workbook>
</file>

<file path=xl/calcChain.xml><?xml version="1.0" encoding="utf-8"?>
<calcChain xmlns="http://schemas.openxmlformats.org/spreadsheetml/2006/main">
  <c r="L3" i="7"/>
  <c r="L3" i="5"/>
  <c r="R6" i="20"/>
  <c r="R9"/>
  <c r="L5" i="15"/>
  <c r="N31" i="19"/>
  <c r="N32"/>
  <c r="L4" i="5"/>
  <c r="L37" i="17"/>
  <c r="L36"/>
  <c r="L6" i="1"/>
  <c r="L3" i="27"/>
  <c r="L6" i="3"/>
  <c r="L5"/>
  <c r="L4" i="1"/>
  <c r="L5" i="5"/>
  <c r="L3" i="11"/>
  <c r="T36" i="20"/>
  <c r="T37"/>
  <c r="L30" i="19"/>
  <c r="N35" i="17"/>
  <c r="N36"/>
  <c r="N37"/>
  <c r="N38"/>
  <c r="N39"/>
  <c r="N78" i="1"/>
  <c r="N79"/>
  <c r="K4" i="18"/>
  <c r="K77" i="1"/>
  <c r="K10"/>
  <c r="K14"/>
  <c r="K3" i="5"/>
  <c r="K5" i="15"/>
  <c r="Q9" i="20"/>
  <c r="Q6"/>
  <c r="K3" i="6"/>
  <c r="K3" i="7"/>
  <c r="K66" i="1"/>
  <c r="K34" i="19"/>
  <c r="K3" i="11"/>
  <c r="J5" i="3"/>
  <c r="J5" i="7"/>
  <c r="J3"/>
  <c r="J3" i="5"/>
  <c r="P6" i="20"/>
  <c r="P9"/>
  <c r="J5" i="15"/>
  <c r="J7" i="17"/>
  <c r="N71" i="1"/>
  <c r="N72"/>
  <c r="N73"/>
  <c r="N74"/>
  <c r="N75"/>
  <c r="N76"/>
  <c r="N77"/>
  <c r="J4" i="18"/>
  <c r="J3" i="27"/>
  <c r="J29" i="19"/>
  <c r="I5" i="18"/>
  <c r="I4"/>
  <c r="I67" i="1"/>
  <c r="I10"/>
  <c r="I3" i="5"/>
  <c r="I66" i="1"/>
  <c r="I28" i="19"/>
  <c r="O6" i="20"/>
  <c r="H3" i="5"/>
  <c r="H4" i="6"/>
  <c r="H3" i="7"/>
  <c r="H4" i="5"/>
  <c r="H3" i="6"/>
  <c r="H15" i="19"/>
  <c r="N36" i="15"/>
  <c r="N35"/>
  <c r="N34"/>
  <c r="N33"/>
  <c r="N32"/>
  <c r="N31"/>
  <c r="N30"/>
  <c r="N29"/>
  <c r="N38" i="1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H19" i="1"/>
  <c r="H12" i="27"/>
  <c r="N6" i="20"/>
  <c r="N9"/>
  <c r="N20" i="15"/>
  <c r="N21"/>
  <c r="N22"/>
  <c r="N23"/>
  <c r="N24"/>
  <c r="N25"/>
  <c r="N26"/>
  <c r="N27"/>
  <c r="N28"/>
  <c r="N37"/>
  <c r="N38"/>
  <c r="N39"/>
  <c r="N40"/>
  <c r="N41"/>
  <c r="N42"/>
  <c r="N43"/>
  <c r="N44"/>
  <c r="N45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0" i="19"/>
  <c r="D19"/>
  <c r="N19"/>
  <c r="F23" i="15"/>
  <c r="F3" i="18"/>
  <c r="F10" i="1"/>
  <c r="F16" i="19"/>
  <c r="F6" i="3"/>
  <c r="F15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1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1" i="19"/>
  <c r="N12"/>
  <c r="N13"/>
  <c r="N14"/>
  <c r="N15"/>
  <c r="N16"/>
  <c r="N17"/>
  <c r="N18"/>
  <c r="N21"/>
  <c r="N22"/>
  <c r="N23"/>
  <c r="N24"/>
  <c r="N25"/>
  <c r="N26"/>
  <c r="N27"/>
  <c r="N28"/>
  <c r="N29"/>
  <c r="N30"/>
  <c r="N33"/>
  <c r="N4" i="30"/>
  <c r="B4" i="5"/>
  <c r="B3"/>
  <c r="B5" i="19"/>
  <c r="B3"/>
  <c r="B5" i="15"/>
  <c r="H9" i="20"/>
  <c r="H6"/>
  <c r="T34"/>
  <c r="V34"/>
  <c r="U34"/>
  <c r="U35"/>
  <c r="F38"/>
  <c r="T31"/>
  <c r="U31"/>
  <c r="V31"/>
  <c r="N20" i="8"/>
  <c r="N21"/>
  <c r="N22"/>
  <c r="N23"/>
  <c r="N33" i="17"/>
  <c r="N34"/>
  <c r="N22" i="27"/>
  <c r="N34" i="18"/>
  <c r="N35"/>
  <c r="N36"/>
  <c r="N37"/>
  <c r="N60"/>
  <c r="N33"/>
  <c r="N29" i="12"/>
  <c r="C65" i="19"/>
  <c r="I27" i="20"/>
  <c r="G65" i="19"/>
  <c r="N31" i="23"/>
  <c r="H65" i="19"/>
  <c r="N27" i="20"/>
  <c r="I65" i="19"/>
  <c r="O27" i="20"/>
  <c r="L65" i="19"/>
  <c r="R27" i="20"/>
  <c r="M65" i="19"/>
  <c r="S27" i="20"/>
  <c r="B65" i="19"/>
  <c r="H27" i="20"/>
  <c r="N34" i="19"/>
  <c r="N35"/>
  <c r="N36"/>
  <c r="N37"/>
  <c r="N38"/>
  <c r="N39"/>
  <c r="N40"/>
  <c r="N41"/>
  <c r="N42"/>
  <c r="N43"/>
  <c r="N44"/>
  <c r="N45"/>
  <c r="N46"/>
  <c r="N47"/>
  <c r="N48"/>
  <c r="N49"/>
  <c r="N50"/>
  <c r="N51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6" i="29"/>
  <c r="N30" i="1"/>
  <c r="N31"/>
  <c r="K65" i="19"/>
  <c r="Q27" i="20"/>
  <c r="N5" i="15"/>
  <c r="N6"/>
  <c r="N10" i="17"/>
  <c r="N31"/>
  <c r="N32"/>
  <c r="N17" i="15"/>
  <c r="J81" i="1"/>
  <c r="P12" i="20"/>
  <c r="J65" i="19"/>
  <c r="P27" i="20"/>
  <c r="O35"/>
  <c r="N30" i="18"/>
  <c r="N31"/>
  <c r="N30" i="17"/>
  <c r="U37" i="20"/>
  <c r="U36"/>
  <c r="U33"/>
  <c r="U32"/>
  <c r="N16" i="27"/>
  <c r="N17"/>
  <c r="N26" i="12"/>
  <c r="H6" i="5"/>
  <c r="N15" i="20"/>
  <c r="N15" i="15"/>
  <c r="N16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5"/>
  <c r="N8"/>
  <c r="N7"/>
  <c r="N4"/>
  <c r="G1"/>
  <c r="B46" i="15"/>
  <c r="I26" i="23"/>
  <c r="N14" i="15"/>
  <c r="N13"/>
  <c r="N12"/>
  <c r="N11"/>
  <c r="N10"/>
  <c r="N9"/>
  <c r="N8"/>
  <c r="N7"/>
  <c r="N12" i="27"/>
  <c r="N11"/>
  <c r="N10"/>
  <c r="N9"/>
  <c r="N8"/>
  <c r="N7"/>
  <c r="N6"/>
  <c r="F65" i="19"/>
  <c r="L27" i="20"/>
  <c r="N17" i="8"/>
  <c r="N18"/>
  <c r="E65" i="19"/>
  <c r="L31" i="23"/>
  <c r="N26" i="1"/>
  <c r="D65" i="19"/>
  <c r="K31" i="23"/>
  <c r="U28" i="20"/>
  <c r="U29"/>
  <c r="U30"/>
  <c r="N9" i="8"/>
  <c r="N7" i="12"/>
  <c r="N7" i="8"/>
  <c r="N8"/>
  <c r="N13" i="18"/>
  <c r="N14"/>
  <c r="N14" i="17"/>
  <c r="C81" i="1"/>
  <c r="I12" i="20"/>
  <c r="C40" i="17"/>
  <c r="I25" i="20"/>
  <c r="C6" i="5"/>
  <c r="I15" i="20"/>
  <c r="T6"/>
  <c r="C24" i="8"/>
  <c r="I18" i="20"/>
  <c r="N7" i="17"/>
  <c r="T9" i="20"/>
  <c r="T8"/>
  <c r="N55" i="19"/>
  <c r="N56"/>
  <c r="N57"/>
  <c r="N58"/>
  <c r="N59"/>
  <c r="N61"/>
  <c r="N62"/>
  <c r="N63"/>
  <c r="N60"/>
  <c r="N32" i="18"/>
  <c r="N80" i="1"/>
  <c r="N19" i="8"/>
  <c r="N20" i="1"/>
  <c r="N29" i="18"/>
  <c r="N38" i="1"/>
  <c r="Q10" i="20"/>
  <c r="N70" i="1"/>
  <c r="N16" i="8"/>
  <c r="N25" i="1"/>
  <c r="N12"/>
  <c r="N63"/>
  <c r="N14"/>
  <c r="N15"/>
  <c r="N52" i="19"/>
  <c r="N13" i="1"/>
  <c r="N11"/>
  <c r="N45"/>
  <c r="N60"/>
  <c r="N15" i="8"/>
  <c r="N27" i="12"/>
  <c r="N24"/>
  <c r="N25"/>
  <c r="N23"/>
  <c r="B31"/>
  <c r="H22" i="20"/>
  <c r="I81" i="1"/>
  <c r="O12" i="20"/>
  <c r="K81" i="1"/>
  <c r="Q12" i="20"/>
  <c r="L81" i="1"/>
  <c r="R12" i="20"/>
  <c r="M81" i="1"/>
  <c r="S12" i="20"/>
  <c r="N28" i="18"/>
  <c r="N27"/>
  <c r="N27" i="1"/>
  <c r="N66"/>
  <c r="N35"/>
  <c r="N10"/>
  <c r="N32"/>
  <c r="H81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81" i="1"/>
  <c r="L12" i="20"/>
  <c r="K10"/>
  <c r="N42" i="1"/>
  <c r="N48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81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81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40" i="17"/>
  <c r="H25" i="20"/>
  <c r="B62" i="18"/>
  <c r="H26" i="20"/>
  <c r="B81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53"/>
  <c r="N54"/>
  <c r="N64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40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61"/>
  <c r="N18" i="17"/>
  <c r="N19"/>
  <c r="N20"/>
  <c r="N15"/>
  <c r="D62" i="18"/>
  <c r="K29" i="23"/>
  <c r="E62" i="18"/>
  <c r="L29" i="23"/>
  <c r="G62" i="18"/>
  <c r="N29" i="23"/>
  <c r="H62" i="18"/>
  <c r="N26" i="20"/>
  <c r="I62" i="18"/>
  <c r="O26" i="20"/>
  <c r="J62" i="18"/>
  <c r="P26" i="20"/>
  <c r="K62" i="18"/>
  <c r="Q26" i="20"/>
  <c r="L62" i="18"/>
  <c r="R26" i="20"/>
  <c r="M62" i="18"/>
  <c r="S26" i="20"/>
  <c r="D40" i="17"/>
  <c r="J25" i="20"/>
  <c r="F40" i="17"/>
  <c r="M28" i="23"/>
  <c r="G40" i="17"/>
  <c r="H40"/>
  <c r="N25" i="20"/>
  <c r="I40" i="17"/>
  <c r="O25" i="20"/>
  <c r="J40" i="17"/>
  <c r="P25" i="20"/>
  <c r="K40" i="17"/>
  <c r="Q25" i="20"/>
  <c r="L40" i="17"/>
  <c r="R25" i="20"/>
  <c r="M40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N19" i="20"/>
  <c r="I10" i="9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N18" i="20"/>
  <c r="I24" i="8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P14"/>
  <c r="Q14"/>
  <c r="R14"/>
  <c r="S14"/>
  <c r="K14" i="23"/>
  <c r="F6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7"/>
  <c r="M12" i="23"/>
  <c r="D24" i="8"/>
  <c r="K19" i="23"/>
  <c r="J18" i="20"/>
  <c r="L10"/>
  <c r="J10"/>
  <c r="G7"/>
  <c r="U7"/>
  <c r="D7" i="10"/>
  <c r="J20" i="20"/>
  <c r="D6" i="5"/>
  <c r="K16" i="23"/>
  <c r="N16" i="20"/>
  <c r="C6" i="7"/>
  <c r="I17" i="20"/>
  <c r="C7" i="10"/>
  <c r="I20" i="20"/>
  <c r="B7" i="10"/>
  <c r="I21" i="23"/>
  <c r="C46" i="15"/>
  <c r="I24" i="20"/>
  <c r="D46" i="15"/>
  <c r="J24" i="20"/>
  <c r="E46" i="15"/>
  <c r="K24" i="20"/>
  <c r="F46" i="15"/>
  <c r="L24" i="20"/>
  <c r="G46" i="15"/>
  <c r="M24" i="20"/>
  <c r="H46" i="15"/>
  <c r="N24" i="20"/>
  <c r="I46" i="15"/>
  <c r="O24" i="20"/>
  <c r="J46" i="15"/>
  <c r="P24" i="20"/>
  <c r="K46" i="15"/>
  <c r="Q24" i="20"/>
  <c r="L46" i="15"/>
  <c r="R24" i="20"/>
  <c r="M46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L12" i="23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U12"/>
  <c r="W12"/>
  <c r="N62" i="18"/>
  <c r="J19" i="23"/>
  <c r="N18"/>
  <c r="N46" i="15"/>
  <c r="N48"/>
  <c r="M13" i="20"/>
  <c r="M26"/>
  <c r="N20" i="23"/>
  <c r="N7" i="3"/>
  <c r="N9"/>
  <c r="M27" i="20"/>
  <c r="J13" i="23"/>
  <c r="M31"/>
  <c r="I31"/>
  <c r="U31"/>
  <c r="W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K26"/>
  <c r="L26"/>
  <c r="N11" i="26"/>
  <c r="N13"/>
  <c r="L28" i="23"/>
  <c r="L25" i="20"/>
  <c r="T25"/>
  <c r="V2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81" i="1"/>
  <c r="N38" i="20"/>
  <c r="N24" i="8"/>
  <c r="N26"/>
  <c r="N40" i="17"/>
  <c r="N42"/>
  <c r="T23" i="20"/>
  <c r="V23"/>
  <c r="O38"/>
  <c r="P38"/>
  <c r="R38"/>
  <c r="N18" i="29"/>
  <c r="N20"/>
  <c r="S38" i="20"/>
  <c r="T21"/>
  <c r="V21"/>
  <c r="V6"/>
  <c r="U13" i="23"/>
  <c r="W13"/>
  <c r="W24"/>
  <c r="T14" i="20"/>
  <c r="V14"/>
  <c r="V36"/>
  <c r="V7"/>
  <c r="V37"/>
  <c r="N4" i="7"/>
  <c r="N6"/>
  <c r="D6"/>
  <c r="G38" i="20"/>
  <c r="G33" i="21"/>
  <c r="M18" i="23"/>
  <c r="H20" i="20"/>
  <c r="N6" i="19"/>
  <c r="N65"/>
  <c r="N67"/>
  <c r="C62" i="18"/>
  <c r="M18" i="20"/>
  <c r="E81" i="1"/>
  <c r="K12" i="20"/>
  <c r="F6" i="5"/>
  <c r="U28" i="23"/>
  <c r="W28"/>
  <c r="U19"/>
  <c r="W19"/>
  <c r="U20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82" i="1"/>
  <c r="T18" i="20"/>
  <c r="V18"/>
  <c r="N6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sharedStrings.xml><?xml version="1.0" encoding="utf-8"?>
<sst xmlns="http://schemas.openxmlformats.org/spreadsheetml/2006/main" count="813" uniqueCount="428">
  <si>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</si>
  <si>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</si>
  <si>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</si>
  <si>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</si>
  <si>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</si>
  <si>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</si>
  <si>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</si>
  <si>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</si>
  <si>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</si>
  <si>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</si>
  <si>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</si>
  <si>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</si>
  <si>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</si>
  <si>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</si>
  <si>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</si>
  <si>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</si>
  <si>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</si>
  <si>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</si>
  <si>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</si>
  <si>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</si>
  <si>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</si>
  <si>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</si>
  <si>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</si>
  <si>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</si>
  <si>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</si>
  <si>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</si>
  <si>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</si>
  <si>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</si>
  <si>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</si>
  <si>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</si>
  <si>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</si>
  <si>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</si>
  <si>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</si>
  <si>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</si>
  <si>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</si>
  <si>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</si>
  <si>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</si>
  <si>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</si>
  <si>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</si>
  <si>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</si>
  <si>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</si>
  <si>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</si>
  <si>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</si>
  <si>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</si>
  <si>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</si>
  <si>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</si>
  <si>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</si>
  <si>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</si>
  <si>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</si>
  <si>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</si>
  <si>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</si>
  <si>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</si>
  <si>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</si>
  <si>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</si>
  <si>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</si>
  <si>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</si>
  <si>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</si>
  <si>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</si>
  <si>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</si>
  <si>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</si>
  <si>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</si>
  <si>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</si>
  <si>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</si>
  <si>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</si>
  <si>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</si>
  <si>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</si>
  <si>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</si>
  <si>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</si>
  <si>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</si>
  <si>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</si>
  <si>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</si>
  <si>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</si>
  <si>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</si>
  <si>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</si>
  <si>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</si>
  <si>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</si>
  <si>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</si>
  <si>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</si>
  <si>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</si>
  <si>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</si>
  <si>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</si>
  <si>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</si>
  <si>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</si>
  <si>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</si>
  <si>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</si>
  <si>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</si>
  <si>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</si>
  <si>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</si>
  <si>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</si>
  <si>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</si>
  <si>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</si>
  <si>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</si>
  <si>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</si>
  <si>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</si>
  <si>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</si>
  <si>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</si>
  <si>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</si>
  <si>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</si>
  <si>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</si>
  <si>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</si>
  <si>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</si>
  <si>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</si>
  <si>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</si>
  <si>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</si>
  <si>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</si>
  <si>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</si>
  <si>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</si>
  <si>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</si>
  <si>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</si>
  <si>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</si>
  <si>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</si>
  <si>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</si>
  <si>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</si>
  <si>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</si>
  <si>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</si>
  <si>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</si>
  <si>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</si>
  <si>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</si>
  <si>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</si>
  <si>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</si>
  <si>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</si>
  <si>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</si>
  <si>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</si>
  <si>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</si>
  <si>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</si>
  <si>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</si>
  <si>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</si>
  <si>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</si>
  <si>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</si>
  <si>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</si>
  <si>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</si>
  <si>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</si>
  <si>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</si>
  <si>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</si>
  <si>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</si>
  <si>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</si>
  <si>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</si>
  <si>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</si>
  <si>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</si>
  <si>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</si>
  <si>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</si>
  <si>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</si>
  <si>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</si>
  <si>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</si>
  <si>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</si>
  <si>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</si>
  <si>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</si>
  <si>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</si>
  <si>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</si>
  <si>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</si>
  <si>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</si>
  <si>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</si>
  <si>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</si>
  <si>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</si>
  <si>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</si>
  <si>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</si>
  <si>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</si>
  <si>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</si>
  <si>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</si>
  <si>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</si>
  <si>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</si>
  <si>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</si>
  <si>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</si>
  <si>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</si>
  <si>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</si>
  <si>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</si>
  <si>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</si>
  <si>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</si>
  <si>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</si>
  <si>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</si>
  <si>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</si>
  <si>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</si>
  <si>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</si>
  <si>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</si>
  <si>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</si>
  <si>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</si>
  <si>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</si>
  <si>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</si>
  <si>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</si>
  <si>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</si>
  <si>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</si>
  <si>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</si>
  <si>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</si>
  <si>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</si>
  <si>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</si>
  <si>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</si>
  <si>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</si>
  <si>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</si>
  <si>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</si>
  <si>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</si>
  <si>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</si>
  <si>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</si>
  <si>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</si>
  <si>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</si>
  <si>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</si>
  <si>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</si>
  <si>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</si>
  <si>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</si>
  <si>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</si>
  <si>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</si>
  <si>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</si>
  <si>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</si>
  <si>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</si>
  <si>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</si>
  <si>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</si>
  <si>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</si>
  <si>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</si>
  <si>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</si>
  <si>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</si>
  <si>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</si>
  <si>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</si>
  <si>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</si>
  <si>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</si>
  <si>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</si>
  <si>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</si>
  <si>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</si>
  <si>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</si>
  <si>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</si>
  <si>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</si>
  <si>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</si>
  <si>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</si>
  <si>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</si>
  <si>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</si>
  <si>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</si>
  <si>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</si>
  <si>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</si>
  <si>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</si>
  <si>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</si>
  <si>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</si>
  <si>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</si>
  <si>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</si>
  <si>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</si>
  <si>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</si>
  <si>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</si>
  <si>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</si>
  <si>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</si>
  <si>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</si>
  <si>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</si>
  <si>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</si>
  <si>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</si>
  <si>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</si>
  <si>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</si>
  <si>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</si>
  <si>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</si>
  <si>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</si>
  <si>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</si>
  <si>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</si>
  <si>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</si>
  <si>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</si>
  <si>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</si>
  <si>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</si>
  <si>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</si>
  <si>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</si>
  <si>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</si>
  <si>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</si>
  <si>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</si>
  <si>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</si>
  <si>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</si>
  <si>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</si>
  <si>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</si>
  <si>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</si>
  <si>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</si>
  <si>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</si>
  <si>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</si>
  <si>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</si>
  <si>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</si>
  <si>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</si>
  <si>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</si>
  <si>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</si>
  <si>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</si>
  <si>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</si>
  <si>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</si>
  <si>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</si>
  <si>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</si>
  <si>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</si>
  <si>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</si>
  <si>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</si>
  <si>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</si>
  <si>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</si>
  <si>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</si>
  <si>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</si>
  <si>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</si>
  <si>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</si>
  <si>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</si>
  <si>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</si>
  <si>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</si>
  <si>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</si>
  <si>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</si>
  <si>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</si>
  <si>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</si>
  <si>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</si>
  <si>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</si>
  <si>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</si>
  <si>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</si>
  <si>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</si>
  <si>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</si>
  <si>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</si>
  <si>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</si>
  <si>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</si>
  <si>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</si>
  <si>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</si>
  <si>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</si>
  <si>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</si>
  <si>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</si>
  <si>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</si>
  <si>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</si>
  <si>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</si>
  <si>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</si>
  <si>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желоб, водосток, угол, держатель желоба</t>
  </si>
  <si>
    <t>светильник</t>
  </si>
  <si>
    <t>реверсивный рубильник</t>
  </si>
  <si>
    <t>выключатель</t>
  </si>
  <si>
    <t>Юр.услуги</t>
  </si>
  <si>
    <t>получение груза</t>
  </si>
  <si>
    <t>копия техпаспорта</t>
  </si>
  <si>
    <t>кипятильник наливной</t>
  </si>
  <si>
    <t>Праздник Новогодней Елки</t>
  </si>
  <si>
    <t>Мусорные контейнеры</t>
  </si>
  <si>
    <t>аи 95  - 40 л ларгус</t>
  </si>
  <si>
    <t>Профнастил оцинковка  на бытовки</t>
  </si>
  <si>
    <t>лопата снеговая на охрану</t>
  </si>
  <si>
    <t>аи 92 - 40 л  Снегоуборщик</t>
  </si>
  <si>
    <t>дт 200л трактор</t>
  </si>
  <si>
    <t>аи 92 - 20л  генератор</t>
  </si>
  <si>
    <t>арматура,труба,электроды</t>
  </si>
  <si>
    <t>трос,зажим,талреп. Растяжка для столба</t>
  </si>
  <si>
    <t>зеркало дорожное</t>
  </si>
  <si>
    <t>труба для опоры столба</t>
  </si>
  <si>
    <t xml:space="preserve">газ </t>
  </si>
  <si>
    <t>аи 92  снегоуборщик 20 л</t>
  </si>
  <si>
    <t>аи 92 ларгус 40л</t>
  </si>
  <si>
    <t>гвоздодер</t>
  </si>
  <si>
    <t>аи 92 б генератор 40л</t>
  </si>
  <si>
    <t>бензин А-95 ларгус</t>
  </si>
  <si>
    <t>нипель быстросъем</t>
  </si>
  <si>
    <t>конвектор, бур</t>
  </si>
  <si>
    <t>ключ универсальный</t>
  </si>
  <si>
    <t>смеситель, муфта, прокладка</t>
  </si>
  <si>
    <t>манометр вертик.</t>
  </si>
  <si>
    <t>конвекторы 2 шт</t>
  </si>
  <si>
    <t>замок врезной на ул. Весенняя</t>
  </si>
  <si>
    <t>щетка стеклоочистительная ларгус</t>
  </si>
  <si>
    <t xml:space="preserve">батарейки аа, саморезы по металлу </t>
  </si>
  <si>
    <t>замок навесной , на гараж</t>
  </si>
  <si>
    <t>степлер, скобы</t>
  </si>
  <si>
    <t>замена корпуса болгарки</t>
  </si>
  <si>
    <t>пружина для шлагбаума</t>
  </si>
  <si>
    <t>пружина дверная</t>
  </si>
  <si>
    <t>незамерзайка ларгус</t>
  </si>
  <si>
    <t xml:space="preserve">горелка пьезо </t>
  </si>
  <si>
    <t>перчатки рабочие утепленные, балончик газовый</t>
  </si>
  <si>
    <t>карабин 3 шт</t>
  </si>
  <si>
    <t xml:space="preserve">кронштейн,фотосенсор,кабель, прожектор, </t>
  </si>
  <si>
    <t>провод,розетка, распред. короб.</t>
  </si>
  <si>
    <t>автомат вык авв</t>
  </si>
  <si>
    <t>батарейки для охраны</t>
  </si>
  <si>
    <t>лампа днт 150. для шлагбаума 2 кпп</t>
  </si>
  <si>
    <t>лампаА60 -20 шт</t>
  </si>
  <si>
    <t>маяк проблесковый, выключатель массы,техоспидометр</t>
  </si>
  <si>
    <t>тепловентилятор охрана</t>
  </si>
  <si>
    <t>дт 200л,трактор</t>
  </si>
  <si>
    <t>вд 40 смазка</t>
  </si>
  <si>
    <t>аи 95 ларгус</t>
  </si>
  <si>
    <t>ноябрь+декабрь переработки</t>
  </si>
  <si>
    <t>Штраф</t>
  </si>
  <si>
    <t>автовышка</t>
  </si>
  <si>
    <t>административный штраф</t>
  </si>
  <si>
    <t>Анализ воды</t>
  </si>
  <si>
    <t>Ремонт а/м Ларгус</t>
  </si>
  <si>
    <t>масло трактор</t>
  </si>
  <si>
    <t>незамерзайка</t>
  </si>
  <si>
    <t>отвертка, молоток, ключи</t>
  </si>
  <si>
    <t>изолента</t>
  </si>
  <si>
    <t>насос для перекачки</t>
  </si>
  <si>
    <t>ремонт редуктора снегоуборщика</t>
  </si>
  <si>
    <t>гвозди, лента запрещающ.</t>
  </si>
  <si>
    <t>сапоги</t>
  </si>
  <si>
    <t>перчатки, батарейка, замок</t>
  </si>
  <si>
    <t>кран</t>
  </si>
  <si>
    <t>сиделка, кран</t>
  </si>
  <si>
    <t>мешки д/мусора, круг отрезной, электроды</t>
  </si>
  <si>
    <t>земл. Работы по восст. Анодной защиты газопровода</t>
  </si>
  <si>
    <t>спираль, защ.рукавица</t>
  </si>
  <si>
    <t>Отчетность</t>
  </si>
  <si>
    <t>эл.обучение</t>
  </si>
  <si>
    <t>совковая лопата</t>
  </si>
  <si>
    <t>цепь, звено</t>
  </si>
  <si>
    <t>рассеиватель</t>
  </si>
  <si>
    <t>растворитель</t>
  </si>
  <si>
    <t>подшипник</t>
  </si>
  <si>
    <t>розжиг, промывка для теплообменника</t>
  </si>
  <si>
    <t>веник</t>
  </si>
  <si>
    <t>сено</t>
  </si>
  <si>
    <t>ключи имбусовые</t>
  </si>
  <si>
    <t>Баннер Масленица</t>
  </si>
  <si>
    <t>штраф</t>
  </si>
  <si>
    <t>юр.услуги</t>
  </si>
  <si>
    <t>автокран</t>
  </si>
  <si>
    <t>ОСАГО Ларгус</t>
  </si>
  <si>
    <t>вывеска</t>
  </si>
  <si>
    <t>флаги</t>
  </si>
  <si>
    <t>гровер</t>
  </si>
  <si>
    <t>бур д/перфоратора</t>
  </si>
  <si>
    <t>набор буров</t>
  </si>
  <si>
    <t>болт анкерный</t>
  </si>
  <si>
    <t>клеммы, топл.фильтр</t>
  </si>
  <si>
    <t>акб зил</t>
  </si>
  <si>
    <t>Масленица</t>
  </si>
  <si>
    <t>Выписки</t>
  </si>
  <si>
    <t>стяжки, гильзы</t>
  </si>
  <si>
    <t>отвод с резьбой</t>
  </si>
  <si>
    <t>перчатки</t>
  </si>
  <si>
    <t>термоусадки, стяжки, гмп, контакт</t>
  </si>
  <si>
    <t>точильный круг</t>
  </si>
  <si>
    <t>лампы накаливания</t>
  </si>
  <si>
    <t>батарейки</t>
  </si>
  <si>
    <t>соединитель пожарный, пожарный рукав</t>
  </si>
  <si>
    <t>круги отрезные</t>
  </si>
  <si>
    <t xml:space="preserve">Исполнение финансового плана ТСН "КП "Согласие" за период с июня 2021 по апрель 2022 года </t>
  </si>
  <si>
    <t>прокладка газопровода</t>
  </si>
  <si>
    <t>разработка схемы границ</t>
  </si>
  <si>
    <t>внесение изменений в проектную документацию</t>
  </si>
  <si>
    <t>Муфта ремонтная</t>
  </si>
  <si>
    <t>электроды, круги</t>
  </si>
  <si>
    <t>хомут обжимной силовой</t>
  </si>
  <si>
    <t>шланг, рукав</t>
  </si>
  <si>
    <t>люк, тройник, муфта</t>
  </si>
  <si>
    <t>Компенс. Масленица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</si>
</sst>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96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8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2" applyNumberFormat="1" applyFont="1"/>
    <xf numFmtId="43" fontId="30" fillId="0" borderId="0" xfId="2" applyNumberFormat="1" applyFont="1"/>
    <xf numFmtId="43" fontId="31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2" fillId="0" borderId="0" xfId="0" applyFont="1" applyAlignment="1"/>
    <xf numFmtId="0" fontId="32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164" fontId="1" fillId="0" borderId="10" xfId="2" applyNumberFormat="1" applyFont="1" applyFill="1" applyBorder="1" applyAlignment="1">
      <alignment horizontal="center" vertical="center"/>
    </xf>
    <xf numFmtId="164" fontId="0" fillId="0" borderId="10" xfId="2" applyNumberFormat="1" applyFont="1" applyBorder="1"/>
    <xf numFmtId="164" fontId="1" fillId="0" borderId="7" xfId="2" applyNumberFormat="1" applyFont="1" applyFill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7" xfId="2" applyNumberFormat="1" applyFont="1" applyBorder="1"/>
    <xf numFmtId="164" fontId="1" fillId="0" borderId="6" xfId="2" applyNumberFormat="1" applyFont="1" applyFill="1" applyBorder="1"/>
    <xf numFmtId="164" fontId="1" fillId="0" borderId="6" xfId="2" applyNumberFormat="1" applyFont="1" applyBorder="1"/>
    <xf numFmtId="164" fontId="0" fillId="0" borderId="10" xfId="2" applyNumberFormat="1" applyFont="1" applyFill="1" applyBorder="1"/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58" t="s">
        <v>65</v>
      </c>
      <c r="B3" s="359"/>
      <c r="C3" s="359"/>
      <c r="D3" s="359"/>
      <c r="E3" s="360"/>
      <c r="F3" s="349" t="s">
        <v>80</v>
      </c>
      <c r="G3" s="349" t="s">
        <v>80</v>
      </c>
      <c r="H3" s="21" t="s">
        <v>35</v>
      </c>
      <c r="I3" s="362" t="s">
        <v>1</v>
      </c>
      <c r="J3" s="362" t="s">
        <v>2</v>
      </c>
      <c r="K3" s="362" t="s">
        <v>3</v>
      </c>
      <c r="L3" s="362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49" t="s">
        <v>85</v>
      </c>
      <c r="V3" s="349" t="s">
        <v>84</v>
      </c>
      <c r="W3" s="351" t="s">
        <v>71</v>
      </c>
    </row>
    <row r="4" spans="1:23" ht="0.75" customHeight="1">
      <c r="A4" s="40"/>
      <c r="B4" s="41"/>
      <c r="C4" s="41"/>
      <c r="D4" s="41"/>
      <c r="E4" s="41"/>
      <c r="F4" s="361"/>
      <c r="G4" s="361"/>
      <c r="H4" s="42" t="s">
        <v>56</v>
      </c>
      <c r="I4" s="363"/>
      <c r="J4" s="363"/>
      <c r="K4" s="363"/>
      <c r="L4" s="363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61"/>
      <c r="V4" s="350"/>
      <c r="W4" s="352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53" t="s">
        <v>66</v>
      </c>
      <c r="B10" s="354"/>
      <c r="C10" s="354"/>
      <c r="D10" s="354"/>
      <c r="E10" s="355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56" t="s">
        <v>64</v>
      </c>
      <c r="B11" s="357"/>
      <c r="C11" s="357"/>
      <c r="D11" s="357"/>
      <c r="E11" s="357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расходы'!B77</f>
        <v>0</v>
      </c>
      <c r="J12" s="136">
        <f ca="1">'общехоз расходы'!C77</f>
        <v>0</v>
      </c>
      <c r="K12" s="136">
        <f ca="1">'общехоз расходы'!D77</f>
        <v>0</v>
      </c>
      <c r="L12" s="136">
        <f ca="1">'общехоз расходы'!E77</f>
        <v>0</v>
      </c>
      <c r="M12" s="136">
        <f ca="1">'общехоз расходы'!F77</f>
        <v>0</v>
      </c>
      <c r="N12" s="136">
        <f ca="1">'общехоз расходы'!G77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электроснабжение!B46</f>
        <v>90104.69</v>
      </c>
      <c r="J26" s="136">
        <f ca="1">электроснабжение!C46</f>
        <v>76105.11</v>
      </c>
      <c r="K26" s="136">
        <f ca="1">электроснабжение!D46</f>
        <v>134348.87</v>
      </c>
      <c r="L26" s="136">
        <f ca="1">электроснабжение!E46</f>
        <v>192716.59000000003</v>
      </c>
      <c r="M26" s="136">
        <f ca="1">электроснабжение!F46</f>
        <v>123074.22</v>
      </c>
      <c r="N26" s="136">
        <f ca="1">электроснабжение!G46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дорог'!B40</f>
        <v>41127.49</v>
      </c>
      <c r="J28" s="136">
        <f ca="1">'содерж дорог'!C40</f>
        <v>3920</v>
      </c>
      <c r="K28" s="136">
        <f ca="1">'содерж дорог'!D40</f>
        <v>35714.97</v>
      </c>
      <c r="L28" s="136">
        <f ca="1">'содерж дорог'!E40</f>
        <v>0</v>
      </c>
      <c r="M28" s="136">
        <f ca="1">'содерж дорог'!F40</f>
        <v>6377.29</v>
      </c>
      <c r="N28" s="136">
        <f ca="1">'содерж дорог'!G40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благоустройство!B62</f>
        <v>13480.2</v>
      </c>
      <c r="J29" s="136">
        <f ca="1">благоустройство!C62</f>
        <v>37009</v>
      </c>
      <c r="K29" s="136">
        <f ca="1">благоустройство!D62</f>
        <v>41317.699999999997</v>
      </c>
      <c r="L29" s="136">
        <f ca="1">благоустройство!E62</f>
        <v>71655.73</v>
      </c>
      <c r="M29" s="136">
        <f ca="1">благоустройство!F62</f>
        <v>13223.11</v>
      </c>
      <c r="N29" s="136">
        <f ca="1">благоустройство!G62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фонд'!B65</f>
        <v>161412.76</v>
      </c>
      <c r="J31" s="140">
        <f ca="1">'резервный фонд'!C65</f>
        <v>20000</v>
      </c>
      <c r="K31" s="140">
        <f ca="1">'резервный фонд'!D65</f>
        <v>200948.2</v>
      </c>
      <c r="L31" s="140">
        <f ca="1">'резервный фонд'!E65</f>
        <v>418529</v>
      </c>
      <c r="M31" s="140">
        <f ca="1">'резервный фонд'!F65</f>
        <v>158643</v>
      </c>
      <c r="N31" s="140">
        <f ca="1">'резервный фонд'!G65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73" t="s">
        <v>67</v>
      </c>
      <c r="B32" s="374"/>
      <c r="C32" s="374"/>
      <c r="D32" s="374"/>
      <c r="E32" s="375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76" t="s">
        <v>82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166"/>
      <c r="W34" s="166"/>
    </row>
    <row r="35" spans="1:23">
      <c r="A35" s="377" t="s">
        <v>83</v>
      </c>
      <c r="B35" s="378"/>
      <c r="C35" s="378"/>
      <c r="D35" s="378"/>
      <c r="E35" s="378"/>
      <c r="F35" s="379"/>
      <c r="G35" s="379"/>
      <c r="H35" s="378"/>
      <c r="I35" s="379"/>
      <c r="J35" s="379"/>
      <c r="K35" s="379"/>
      <c r="L35" s="378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64" t="s">
        <v>86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6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67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9"/>
      <c r="V38" s="166"/>
      <c r="W38" s="166"/>
    </row>
    <row r="39" spans="1:23">
      <c r="A39" s="370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2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9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Q35" sqref="Q35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150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151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171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172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195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206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227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228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254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255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266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267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268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298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 t="shared" ref="N16:N23" si="2">SUM(B16:M16)</f>
        <v>420</v>
      </c>
    </row>
    <row r="17" spans="1:14">
      <c r="A17" s="17" t="s">
        <v>299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 t="shared" si="2"/>
        <v>580</v>
      </c>
    </row>
    <row r="18" spans="1:14">
      <c r="A18" s="17" t="s">
        <v>358</v>
      </c>
      <c r="B18" s="93"/>
      <c r="C18" s="93"/>
      <c r="D18" s="93"/>
      <c r="E18" s="93"/>
      <c r="F18" s="93"/>
      <c r="G18" s="93"/>
      <c r="H18" s="93">
        <v>11700</v>
      </c>
      <c r="I18" s="93"/>
      <c r="J18" s="93"/>
      <c r="K18" s="93"/>
      <c r="L18" s="237"/>
      <c r="M18" s="236"/>
      <c r="N18" s="32">
        <f t="shared" si="2"/>
        <v>11700</v>
      </c>
    </row>
    <row r="19" spans="1:14">
      <c r="A19" s="17" t="s">
        <v>359</v>
      </c>
      <c r="B19" s="93"/>
      <c r="C19" s="93"/>
      <c r="D19" s="93"/>
      <c r="E19" s="93"/>
      <c r="F19" s="93"/>
      <c r="G19" s="93"/>
      <c r="H19" s="93">
        <v>2990</v>
      </c>
      <c r="I19" s="93"/>
      <c r="J19" s="93"/>
      <c r="K19" s="93"/>
      <c r="L19" s="237"/>
      <c r="M19" s="236"/>
      <c r="N19" s="32">
        <f t="shared" si="2"/>
        <v>2990</v>
      </c>
    </row>
    <row r="20" spans="1:14">
      <c r="A20" s="17" t="s">
        <v>385</v>
      </c>
      <c r="B20" s="93"/>
      <c r="C20" s="93"/>
      <c r="D20" s="93"/>
      <c r="E20" s="93"/>
      <c r="F20" s="93"/>
      <c r="G20" s="93"/>
      <c r="H20" s="93"/>
      <c r="I20" s="93">
        <v>660</v>
      </c>
      <c r="J20" s="93"/>
      <c r="K20" s="93"/>
      <c r="L20" s="237"/>
      <c r="M20" s="236"/>
      <c r="N20" s="32">
        <f t="shared" si="2"/>
        <v>660</v>
      </c>
    </row>
    <row r="21" spans="1:14">
      <c r="A21" s="17" t="s">
        <v>403</v>
      </c>
      <c r="B21" s="93"/>
      <c r="C21" s="93"/>
      <c r="D21" s="93"/>
      <c r="E21" s="93"/>
      <c r="F21" s="93"/>
      <c r="G21" s="93"/>
      <c r="H21" s="93"/>
      <c r="I21" s="93"/>
      <c r="J21" s="93">
        <v>290</v>
      </c>
      <c r="K21" s="93"/>
      <c r="L21" s="237"/>
      <c r="M21" s="236"/>
      <c r="N21" s="32">
        <f t="shared" si="2"/>
        <v>290</v>
      </c>
    </row>
    <row r="22" spans="1:14">
      <c r="A22" s="17" t="s">
        <v>416</v>
      </c>
      <c r="B22" s="93"/>
      <c r="C22" s="93"/>
      <c r="D22" s="93"/>
      <c r="E22" s="93"/>
      <c r="F22" s="93"/>
      <c r="G22" s="93"/>
      <c r="H22" s="93"/>
      <c r="I22" s="93"/>
      <c r="J22" s="93"/>
      <c r="K22" s="93">
        <v>7460</v>
      </c>
      <c r="L22" s="237"/>
      <c r="M22" s="236"/>
      <c r="N22" s="32">
        <f t="shared" si="2"/>
        <v>7460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1000</v>
      </c>
      <c r="H24" s="229">
        <f t="shared" si="3"/>
        <v>14690</v>
      </c>
      <c r="I24" s="229">
        <f t="shared" si="3"/>
        <v>660</v>
      </c>
      <c r="J24" s="229">
        <f t="shared" si="3"/>
        <v>290</v>
      </c>
      <c r="K24" s="229">
        <f t="shared" si="3"/>
        <v>7460</v>
      </c>
      <c r="L24" s="229">
        <f t="shared" si="3"/>
        <v>0</v>
      </c>
      <c r="M24" s="229">
        <f t="shared" si="3"/>
        <v>0</v>
      </c>
      <c r="N24" s="229">
        <f t="shared" si="3"/>
        <v>79948</v>
      </c>
    </row>
    <row r="26" spans="1:14">
      <c r="N26" s="234">
        <f>SUM(B24:M24)-N24</f>
        <v>0</v>
      </c>
    </row>
  </sheetData>
  <phoneticPr fontId="29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L6" sqref="L6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>
        <v>520000</v>
      </c>
      <c r="I4" s="53">
        <v>520000</v>
      </c>
      <c r="J4" s="53">
        <v>550000</v>
      </c>
      <c r="K4" s="53">
        <v>550000</v>
      </c>
      <c r="L4" s="53">
        <v>550000</v>
      </c>
      <c r="M4" s="53"/>
      <c r="N4" s="6">
        <f>SUM(B4:M4)</f>
        <v>5795607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>
        <v>550000</v>
      </c>
      <c r="M5" s="237"/>
      <c r="N5" s="6">
        <f>SUM(B5:M5)</f>
        <v>550000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520000</v>
      </c>
      <c r="I7" s="225">
        <f t="shared" si="0"/>
        <v>520000</v>
      </c>
      <c r="J7" s="225">
        <f t="shared" si="0"/>
        <v>550000</v>
      </c>
      <c r="K7" s="225">
        <f t="shared" si="0"/>
        <v>550000</v>
      </c>
      <c r="L7" s="225">
        <f t="shared" si="0"/>
        <v>1100000</v>
      </c>
      <c r="M7" s="225">
        <f t="shared" si="0"/>
        <v>0</v>
      </c>
      <c r="N7" s="225">
        <f>SUM(N4:N6)</f>
        <v>6345607</v>
      </c>
    </row>
    <row r="9" spans="1:14">
      <c r="C9" t="s">
        <v>104</v>
      </c>
      <c r="N9" s="234">
        <f>SUM(B7:M7)-N7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L28" sqref="L28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>
        <v>395000</v>
      </c>
      <c r="I3" s="190">
        <v>335000</v>
      </c>
      <c r="J3" s="190">
        <v>330000</v>
      </c>
      <c r="K3" s="190">
        <v>295000</v>
      </c>
      <c r="L3" s="196">
        <v>190000</v>
      </c>
      <c r="M3" s="196"/>
      <c r="N3" s="17">
        <f>SUM(B3:M3)</f>
        <v>4488500</v>
      </c>
    </row>
    <row r="4" spans="1:14">
      <c r="A4" s="17" t="s">
        <v>186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>
        <v>54000</v>
      </c>
      <c r="M4" s="196"/>
      <c r="N4" s="17">
        <f t="shared" ref="N4:N9" si="0">SUM(B4:M4)</f>
        <v>216400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 t="s">
        <v>317</v>
      </c>
      <c r="B8" s="190"/>
      <c r="C8" s="190"/>
      <c r="D8" s="190"/>
      <c r="E8" s="190"/>
      <c r="F8" s="190"/>
      <c r="G8" s="190"/>
      <c r="H8" s="190">
        <v>31915</v>
      </c>
      <c r="I8" s="190"/>
      <c r="J8" s="190"/>
      <c r="K8" s="190"/>
      <c r="L8" s="196"/>
      <c r="M8" s="196"/>
      <c r="N8" s="17">
        <f t="shared" si="0"/>
        <v>31915</v>
      </c>
    </row>
    <row r="9" spans="1:14">
      <c r="A9" s="17" t="s">
        <v>383</v>
      </c>
      <c r="B9" s="190"/>
      <c r="C9" s="190"/>
      <c r="D9" s="190"/>
      <c r="E9" s="190"/>
      <c r="F9" s="190"/>
      <c r="G9" s="190"/>
      <c r="H9" s="190"/>
      <c r="I9" s="190"/>
      <c r="J9" s="190">
        <v>19000</v>
      </c>
      <c r="K9" s="190"/>
      <c r="L9" s="196"/>
      <c r="M9" s="196"/>
      <c r="N9" s="17">
        <f t="shared" si="0"/>
        <v>19000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426915</v>
      </c>
      <c r="I10" s="225">
        <f t="shared" si="1"/>
        <v>335000</v>
      </c>
      <c r="J10" s="225">
        <f t="shared" si="1"/>
        <v>349000</v>
      </c>
      <c r="K10" s="225">
        <f t="shared" si="1"/>
        <v>295000</v>
      </c>
      <c r="L10" s="225">
        <f t="shared" si="1"/>
        <v>244000</v>
      </c>
      <c r="M10" s="225">
        <f t="shared" si="1"/>
        <v>0</v>
      </c>
      <c r="N10" s="225">
        <f t="shared" si="1"/>
        <v>4993615</v>
      </c>
    </row>
    <row r="12" spans="1:14">
      <c r="N12" s="234">
        <f>SUM(B10:M10)-N10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L4" sqref="L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2">
        <v>110000</v>
      </c>
      <c r="Q2" t="s">
        <v>3</v>
      </c>
      <c r="R2" t="s">
        <v>208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>
        <v>20698</v>
      </c>
      <c r="I3" s="17">
        <v>20698</v>
      </c>
      <c r="J3" s="17">
        <v>20698</v>
      </c>
      <c r="K3" s="17">
        <f>20698+20698</f>
        <v>41396</v>
      </c>
      <c r="L3" s="17">
        <f>20697.67+24683.86+26622.5</f>
        <v>72004.03</v>
      </c>
      <c r="M3" s="17"/>
      <c r="N3" s="17">
        <f>SUM(B3:M3)</f>
        <v>299680.70999999996</v>
      </c>
      <c r="P3" s="332">
        <v>19000</v>
      </c>
      <c r="Q3" t="s">
        <v>3</v>
      </c>
      <c r="R3" t="s">
        <v>209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  <c r="P4">
        <v>19000</v>
      </c>
      <c r="Q4" t="s">
        <v>7</v>
      </c>
      <c r="R4" t="s">
        <v>209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  <c r="P5">
        <v>780000</v>
      </c>
      <c r="Q5" t="s">
        <v>11</v>
      </c>
      <c r="R5" t="s">
        <v>419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20698</v>
      </c>
      <c r="I6" s="224">
        <f t="shared" si="0"/>
        <v>20698</v>
      </c>
      <c r="J6" s="224">
        <f t="shared" si="0"/>
        <v>20698</v>
      </c>
      <c r="K6" s="224">
        <f t="shared" si="0"/>
        <v>41396</v>
      </c>
      <c r="L6" s="224">
        <f t="shared" si="0"/>
        <v>72004.03</v>
      </c>
      <c r="M6" s="224">
        <f t="shared" si="0"/>
        <v>0</v>
      </c>
      <c r="N6" s="224">
        <f t="shared" si="0"/>
        <v>299680.70999999996</v>
      </c>
      <c r="P6">
        <v>20000</v>
      </c>
      <c r="Q6" t="s">
        <v>420</v>
      </c>
    </row>
    <row r="7" spans="1:18">
      <c r="P7">
        <v>175000</v>
      </c>
      <c r="Q7" t="s">
        <v>421</v>
      </c>
    </row>
    <row r="8" spans="1:18">
      <c r="N8" s="234">
        <f>SUM(B6:M6)-N6</f>
        <v>0</v>
      </c>
    </row>
  </sheetData>
  <phoneticPr fontId="29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30" sqref="A30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143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159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>
        <v>20527</v>
      </c>
      <c r="J4" s="242"/>
      <c r="K4" s="242"/>
      <c r="L4" s="242">
        <v>23372</v>
      </c>
      <c r="M4" s="242"/>
      <c r="N4" s="17">
        <f t="shared" si="0"/>
        <v>106556</v>
      </c>
    </row>
    <row r="5" spans="1:14">
      <c r="A5" s="219" t="s">
        <v>180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181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182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1" t="s">
        <v>190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191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200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201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224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225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226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256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>
        <v>1883.2</v>
      </c>
      <c r="L15" s="196"/>
      <c r="M15" s="190"/>
      <c r="N15" s="17">
        <f t="shared" si="0"/>
        <v>2790.2</v>
      </c>
    </row>
    <row r="16" spans="1:14">
      <c r="A16" s="17" t="s">
        <v>257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276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306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 t="s">
        <v>335</v>
      </c>
      <c r="B19" s="93"/>
      <c r="C19" s="190"/>
      <c r="D19" s="190"/>
      <c r="E19" s="93"/>
      <c r="F19" s="190"/>
      <c r="G19" s="190"/>
      <c r="H19" s="190">
        <v>3916</v>
      </c>
      <c r="I19" s="190"/>
      <c r="J19" s="190"/>
      <c r="K19" s="190"/>
      <c r="L19" s="196"/>
      <c r="M19" s="190"/>
      <c r="N19" s="17">
        <f t="shared" si="0"/>
        <v>3916</v>
      </c>
    </row>
    <row r="20" spans="1:14">
      <c r="A20" s="17" t="s">
        <v>336</v>
      </c>
      <c r="B20" s="93"/>
      <c r="C20" s="190"/>
      <c r="D20" s="190"/>
      <c r="E20" s="93"/>
      <c r="F20" s="190"/>
      <c r="G20" s="190"/>
      <c r="H20" s="190">
        <v>1200</v>
      </c>
      <c r="I20" s="190"/>
      <c r="J20" s="190"/>
      <c r="K20" s="190"/>
      <c r="L20" s="196"/>
      <c r="M20" s="190"/>
      <c r="N20" s="17">
        <f t="shared" si="0"/>
        <v>1200</v>
      </c>
    </row>
    <row r="21" spans="1:14">
      <c r="A21" s="17" t="s">
        <v>337</v>
      </c>
      <c r="B21" s="93"/>
      <c r="C21" s="190"/>
      <c r="D21" s="190"/>
      <c r="E21" s="93"/>
      <c r="F21" s="190"/>
      <c r="G21" s="190"/>
      <c r="H21" s="190">
        <v>2046</v>
      </c>
      <c r="I21" s="190"/>
      <c r="J21" s="190"/>
      <c r="K21" s="190"/>
      <c r="L21" s="196"/>
      <c r="M21" s="190"/>
      <c r="N21" s="17">
        <f t="shared" si="0"/>
        <v>2046</v>
      </c>
    </row>
    <row r="22" spans="1:14">
      <c r="A22" s="17" t="s">
        <v>338</v>
      </c>
      <c r="B22" s="93"/>
      <c r="C22" s="190"/>
      <c r="D22" s="190"/>
      <c r="E22" s="93"/>
      <c r="F22" s="190"/>
      <c r="G22" s="190"/>
      <c r="H22" s="190">
        <v>270</v>
      </c>
      <c r="I22" s="190"/>
      <c r="J22" s="190"/>
      <c r="K22" s="190"/>
      <c r="L22" s="196"/>
      <c r="M22" s="190"/>
      <c r="N22" s="17">
        <f t="shared" si="0"/>
        <v>270</v>
      </c>
    </row>
    <row r="23" spans="1:14">
      <c r="A23" s="17" t="s">
        <v>367</v>
      </c>
      <c r="B23" s="93"/>
      <c r="C23" s="190"/>
      <c r="D23" s="190"/>
      <c r="E23" s="93"/>
      <c r="F23" s="190"/>
      <c r="G23" s="190"/>
      <c r="H23" s="190"/>
      <c r="I23" s="190">
        <v>5988</v>
      </c>
      <c r="J23" s="190"/>
      <c r="K23" s="190"/>
      <c r="L23" s="196"/>
      <c r="M23" s="190"/>
      <c r="N23" s="17">
        <f t="shared" si="0"/>
        <v>5988</v>
      </c>
    </row>
    <row r="24" spans="1:14">
      <c r="A24" s="17" t="s">
        <v>378</v>
      </c>
      <c r="B24" s="93"/>
      <c r="C24" s="190"/>
      <c r="D24" s="190"/>
      <c r="E24" s="93"/>
      <c r="F24" s="190"/>
      <c r="G24" s="190"/>
      <c r="H24" s="190"/>
      <c r="I24" s="190">
        <v>350</v>
      </c>
      <c r="J24" s="190"/>
      <c r="K24" s="190"/>
      <c r="L24" s="196"/>
      <c r="M24" s="190"/>
      <c r="N24" s="17">
        <f t="shared" si="0"/>
        <v>350</v>
      </c>
    </row>
    <row r="25" spans="1:14">
      <c r="A25" s="17" t="s">
        <v>389</v>
      </c>
      <c r="B25" s="93"/>
      <c r="C25" s="190"/>
      <c r="D25" s="190"/>
      <c r="E25" s="93"/>
      <c r="F25" s="190"/>
      <c r="G25" s="190"/>
      <c r="H25" s="190"/>
      <c r="I25" s="190"/>
      <c r="J25" s="190">
        <v>640</v>
      </c>
      <c r="K25" s="190"/>
      <c r="L25" s="196"/>
      <c r="M25" s="190"/>
      <c r="N25" s="17">
        <f t="shared" si="0"/>
        <v>640</v>
      </c>
    </row>
    <row r="26" spans="1:14">
      <c r="A26" s="312" t="s">
        <v>401</v>
      </c>
      <c r="B26" s="190"/>
      <c r="C26" s="93"/>
      <c r="D26" s="190"/>
      <c r="E26" s="190"/>
      <c r="F26" s="93"/>
      <c r="G26" s="93"/>
      <c r="H26" s="190"/>
      <c r="I26" s="190"/>
      <c r="J26" s="190"/>
      <c r="K26" s="190">
        <v>263</v>
      </c>
      <c r="L26" s="196"/>
      <c r="M26" s="196"/>
      <c r="N26" s="17">
        <f t="shared" si="0"/>
        <v>263</v>
      </c>
    </row>
    <row r="27" spans="1:14">
      <c r="A27" s="17" t="s">
        <v>409</v>
      </c>
      <c r="B27" s="93"/>
      <c r="C27" s="190"/>
      <c r="D27" s="190"/>
      <c r="E27" s="93"/>
      <c r="F27" s="190"/>
      <c r="G27" s="190"/>
      <c r="H27" s="190"/>
      <c r="I27" s="190"/>
      <c r="J27" s="190"/>
      <c r="K27" s="190">
        <v>2475</v>
      </c>
      <c r="L27" s="196"/>
      <c r="M27" s="190"/>
      <c r="N27" s="17">
        <f t="shared" si="0"/>
        <v>2475</v>
      </c>
    </row>
    <row r="28" spans="1:14">
      <c r="A28" s="17" t="s">
        <v>410</v>
      </c>
      <c r="B28" s="93"/>
      <c r="C28" s="190"/>
      <c r="D28" s="190"/>
      <c r="E28" s="93"/>
      <c r="F28" s="190"/>
      <c r="G28" s="190"/>
      <c r="H28" s="190"/>
      <c r="I28" s="190"/>
      <c r="J28" s="190"/>
      <c r="K28" s="190">
        <v>600</v>
      </c>
      <c r="L28" s="196"/>
      <c r="M28" s="190"/>
      <c r="N28" s="17">
        <f t="shared" si="0"/>
        <v>600</v>
      </c>
    </row>
    <row r="29" spans="1:14">
      <c r="A29" s="17" t="s">
        <v>422</v>
      </c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>
        <v>18652</v>
      </c>
      <c r="M29" s="190"/>
      <c r="N29" s="17">
        <f t="shared" si="0"/>
        <v>18652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7432</v>
      </c>
      <c r="I31" s="224">
        <f t="shared" si="1"/>
        <v>26865</v>
      </c>
      <c r="J31" s="224">
        <f t="shared" si="1"/>
        <v>640</v>
      </c>
      <c r="K31" s="224">
        <f t="shared" si="1"/>
        <v>5221.2</v>
      </c>
      <c r="L31" s="224">
        <f t="shared" si="1"/>
        <v>42024</v>
      </c>
      <c r="M31" s="224">
        <f t="shared" si="1"/>
        <v>0</v>
      </c>
      <c r="N31" s="224">
        <f t="shared" si="1"/>
        <v>177736.90000000002</v>
      </c>
    </row>
    <row r="33" spans="14:14">
      <c r="N33" s="234">
        <f>SUM(B31:M31)-N31</f>
        <v>0</v>
      </c>
    </row>
  </sheetData>
  <phoneticPr fontId="29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L4" sqref="L4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124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>
        <v>16300</v>
      </c>
      <c r="J3" s="190">
        <f>16300</f>
        <v>16300</v>
      </c>
      <c r="K3" s="190">
        <v>16300</v>
      </c>
      <c r="L3" s="196">
        <f>16300+16300</f>
        <v>32600</v>
      </c>
      <c r="M3" s="196"/>
      <c r="N3" s="17">
        <f t="shared" ref="N3:N15" si="0">SUM(B3:M3)</f>
        <v>179300</v>
      </c>
    </row>
    <row r="4" spans="1:14">
      <c r="A4" s="252" t="s">
        <v>142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164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165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198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222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223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275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284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>
        <f>6750</f>
        <v>6750</v>
      </c>
      <c r="I12" s="190"/>
      <c r="J12" s="190"/>
      <c r="K12" s="190"/>
      <c r="L12" s="196"/>
      <c r="M12" s="196"/>
      <c r="N12" s="17">
        <f t="shared" si="0"/>
        <v>219691.35</v>
      </c>
    </row>
    <row r="13" spans="1:14">
      <c r="A13" s="206" t="s">
        <v>172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163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303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304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305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 t="s">
        <v>333</v>
      </c>
      <c r="B18" s="190"/>
      <c r="C18" s="93"/>
      <c r="D18" s="190"/>
      <c r="E18" s="190"/>
      <c r="F18" s="93"/>
      <c r="G18" s="93"/>
      <c r="H18" s="190">
        <v>2039.2</v>
      </c>
      <c r="I18" s="190"/>
      <c r="J18" s="190"/>
      <c r="K18" s="190"/>
      <c r="L18" s="196"/>
      <c r="M18" s="196"/>
      <c r="N18" s="17">
        <f t="shared" si="1"/>
        <v>2039.2</v>
      </c>
    </row>
    <row r="19" spans="1:14">
      <c r="A19" s="206" t="s">
        <v>334</v>
      </c>
      <c r="B19" s="190"/>
      <c r="C19" s="93"/>
      <c r="D19" s="190"/>
      <c r="E19" s="190"/>
      <c r="F19" s="93"/>
      <c r="G19" s="93"/>
      <c r="H19" s="190">
        <v>201</v>
      </c>
      <c r="I19" s="190"/>
      <c r="J19" s="190"/>
      <c r="K19" s="190"/>
      <c r="L19" s="190"/>
      <c r="M19" s="196"/>
      <c r="N19" s="17">
        <f t="shared" si="1"/>
        <v>201</v>
      </c>
    </row>
    <row r="20" spans="1:14">
      <c r="A20" s="206" t="s">
        <v>379</v>
      </c>
      <c r="B20" s="190"/>
      <c r="C20" s="93"/>
      <c r="D20" s="190"/>
      <c r="E20" s="190"/>
      <c r="F20" s="93"/>
      <c r="G20" s="93"/>
      <c r="H20" s="190"/>
      <c r="I20" s="190">
        <v>3285</v>
      </c>
      <c r="J20" s="190"/>
      <c r="K20" s="190"/>
      <c r="L20" s="190"/>
      <c r="M20" s="196"/>
      <c r="N20" s="17">
        <f t="shared" si="1"/>
        <v>3285</v>
      </c>
    </row>
    <row r="21" spans="1:14">
      <c r="A21" s="206" t="s">
        <v>382</v>
      </c>
      <c r="B21" s="190"/>
      <c r="C21" s="93"/>
      <c r="D21" s="190"/>
      <c r="E21" s="190"/>
      <c r="F21" s="93"/>
      <c r="G21" s="93"/>
      <c r="H21" s="190"/>
      <c r="I21" s="190"/>
      <c r="J21" s="190">
        <v>29691</v>
      </c>
      <c r="K21" s="190"/>
      <c r="L21" s="190"/>
      <c r="M21" s="196"/>
      <c r="N21" s="17">
        <f t="shared" si="1"/>
        <v>29691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242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8990.2000000000007</v>
      </c>
      <c r="I24" s="225">
        <f t="shared" si="2"/>
        <v>19585</v>
      </c>
      <c r="J24" s="225">
        <f t="shared" si="2"/>
        <v>45991</v>
      </c>
      <c r="K24" s="225">
        <f t="shared" si="2"/>
        <v>16300</v>
      </c>
      <c r="L24" s="225">
        <f t="shared" si="2"/>
        <v>32600</v>
      </c>
      <c r="M24" s="225">
        <f t="shared" si="2"/>
        <v>0</v>
      </c>
      <c r="N24" s="225">
        <f t="shared" si="2"/>
        <v>449027.35000000003</v>
      </c>
    </row>
    <row r="26" spans="1:14">
      <c r="N26" s="234">
        <f>SUM(B24:M24)-N24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L6" sqref="L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>
        <v>172210.56</v>
      </c>
      <c r="I4" s="190">
        <v>236150.96</v>
      </c>
      <c r="J4" s="190">
        <v>276454.40000000002</v>
      </c>
      <c r="K4" s="190">
        <v>239462.72</v>
      </c>
      <c r="L4" s="196">
        <v>181199.72</v>
      </c>
      <c r="M4" s="190"/>
      <c r="N4" s="6">
        <f t="shared" ref="N4:N9" si="0">SUM(B4:M4)</f>
        <v>1848615.13</v>
      </c>
    </row>
    <row r="5" spans="1:14">
      <c r="A5" s="14" t="s">
        <v>117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>
        <v>-1018.64</v>
      </c>
      <c r="I5" s="190"/>
      <c r="J5" s="190">
        <f>-11942*3-2075.36</f>
        <v>-37901.360000000001</v>
      </c>
      <c r="K5" s="190">
        <f>-1061.48-13238.94</f>
        <v>-14300.42</v>
      </c>
      <c r="L5" s="196">
        <f>-11406.16-952</f>
        <v>-12358.16</v>
      </c>
      <c r="M5" s="190"/>
      <c r="N5" s="6">
        <f t="shared" si="0"/>
        <v>-167195.39000000001</v>
      </c>
    </row>
    <row r="6" spans="1:14">
      <c r="A6" s="17" t="s">
        <v>145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183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184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202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203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204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234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235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236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237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238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239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240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241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263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45" si="2">SUM(B20:M20)</f>
        <v>2180</v>
      </c>
    </row>
    <row r="21" spans="1:14">
      <c r="A21" s="2" t="s">
        <v>264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265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>
        <v>110</v>
      </c>
      <c r="L22" s="190"/>
      <c r="M22" s="190"/>
      <c r="N22" s="6">
        <f t="shared" si="2"/>
        <v>310</v>
      </c>
    </row>
    <row r="23" spans="1:14">
      <c r="A23" s="2" t="s">
        <v>277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288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297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>
        <v>1460</v>
      </c>
      <c r="L25" s="190"/>
      <c r="M25" s="190"/>
      <c r="N25" s="6">
        <f t="shared" si="2"/>
        <v>20810</v>
      </c>
    </row>
    <row r="26" spans="1:14">
      <c r="A26" s="2" t="s">
        <v>309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310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311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 t="s">
        <v>351</v>
      </c>
      <c r="B29" s="190"/>
      <c r="C29" s="190"/>
      <c r="D29" s="190"/>
      <c r="E29" s="190"/>
      <c r="F29" s="190"/>
      <c r="G29" s="190"/>
      <c r="H29" s="190">
        <v>750</v>
      </c>
      <c r="I29" s="190"/>
      <c r="J29" s="190"/>
      <c r="K29" s="190"/>
      <c r="L29" s="190"/>
      <c r="M29" s="190"/>
      <c r="N29" s="6">
        <f t="shared" ref="N29:N36" si="3">SUM(B29:M29)</f>
        <v>750</v>
      </c>
    </row>
    <row r="30" spans="1:14">
      <c r="A30" s="2" t="s">
        <v>352</v>
      </c>
      <c r="B30" s="190"/>
      <c r="C30" s="190"/>
      <c r="D30" s="190"/>
      <c r="E30" s="190"/>
      <c r="F30" s="190"/>
      <c r="G30" s="190"/>
      <c r="H30" s="190">
        <v>8725</v>
      </c>
      <c r="I30" s="190"/>
      <c r="J30" s="190"/>
      <c r="K30" s="190"/>
      <c r="L30" s="190"/>
      <c r="M30" s="190"/>
      <c r="N30" s="6">
        <f t="shared" si="3"/>
        <v>8725</v>
      </c>
    </row>
    <row r="31" spans="1:14">
      <c r="A31" s="2" t="s">
        <v>353</v>
      </c>
      <c r="B31" s="190"/>
      <c r="C31" s="190"/>
      <c r="D31" s="190"/>
      <c r="E31" s="190"/>
      <c r="F31" s="190"/>
      <c r="G31" s="190"/>
      <c r="H31" s="190">
        <v>2370</v>
      </c>
      <c r="I31" s="190"/>
      <c r="J31" s="190"/>
      <c r="K31" s="190"/>
      <c r="L31" s="190"/>
      <c r="M31" s="190"/>
      <c r="N31" s="6">
        <f t="shared" si="3"/>
        <v>2370</v>
      </c>
    </row>
    <row r="32" spans="1:14">
      <c r="A32" s="2" t="s">
        <v>354</v>
      </c>
      <c r="B32" s="190"/>
      <c r="C32" s="190"/>
      <c r="D32" s="190"/>
      <c r="E32" s="190"/>
      <c r="F32" s="190"/>
      <c r="G32" s="190"/>
      <c r="H32" s="190">
        <v>2350</v>
      </c>
      <c r="I32" s="190"/>
      <c r="J32" s="190"/>
      <c r="K32" s="190"/>
      <c r="L32" s="190"/>
      <c r="M32" s="190"/>
      <c r="N32" s="6">
        <f t="shared" si="3"/>
        <v>2350</v>
      </c>
    </row>
    <row r="33" spans="1:14">
      <c r="A33" s="2" t="s">
        <v>355</v>
      </c>
      <c r="B33" s="190"/>
      <c r="C33" s="190"/>
      <c r="D33" s="190"/>
      <c r="E33" s="190"/>
      <c r="F33" s="190"/>
      <c r="G33" s="190"/>
      <c r="H33" s="190">
        <v>520</v>
      </c>
      <c r="I33" s="190"/>
      <c r="J33" s="190"/>
      <c r="K33" s="190"/>
      <c r="L33" s="190"/>
      <c r="M33" s="190"/>
      <c r="N33" s="6">
        <f t="shared" si="3"/>
        <v>520</v>
      </c>
    </row>
    <row r="34" spans="1:14">
      <c r="A34" s="2" t="s">
        <v>356</v>
      </c>
      <c r="B34" s="190"/>
      <c r="C34" s="190"/>
      <c r="D34" s="190"/>
      <c r="E34" s="190"/>
      <c r="F34" s="190"/>
      <c r="G34" s="190"/>
      <c r="H34" s="190">
        <v>800</v>
      </c>
      <c r="I34" s="190"/>
      <c r="J34" s="190"/>
      <c r="K34" s="190"/>
      <c r="L34" s="190"/>
      <c r="M34" s="190"/>
      <c r="N34" s="6">
        <f t="shared" si="3"/>
        <v>800</v>
      </c>
    </row>
    <row r="35" spans="1:14">
      <c r="A35" s="2" t="s">
        <v>357</v>
      </c>
      <c r="B35" s="190"/>
      <c r="C35" s="190"/>
      <c r="D35" s="190"/>
      <c r="E35" s="190"/>
      <c r="F35" s="190"/>
      <c r="G35" s="190"/>
      <c r="H35" s="190">
        <v>5200</v>
      </c>
      <c r="I35" s="190">
        <v>950</v>
      </c>
      <c r="J35" s="190"/>
      <c r="K35" s="190"/>
      <c r="L35" s="190"/>
      <c r="M35" s="190"/>
      <c r="N35" s="6">
        <f t="shared" si="3"/>
        <v>6150</v>
      </c>
    </row>
    <row r="36" spans="1:14">
      <c r="A36" s="2" t="s">
        <v>372</v>
      </c>
      <c r="B36" s="190"/>
      <c r="C36" s="190"/>
      <c r="D36" s="190"/>
      <c r="E36" s="190"/>
      <c r="F36" s="190"/>
      <c r="G36" s="190"/>
      <c r="H36" s="190"/>
      <c r="I36" s="190">
        <v>138</v>
      </c>
      <c r="J36" s="190"/>
      <c r="K36" s="190"/>
      <c r="L36" s="190"/>
      <c r="M36" s="190"/>
      <c r="N36" s="6">
        <f t="shared" si="3"/>
        <v>138</v>
      </c>
    </row>
    <row r="37" spans="1:14">
      <c r="A37" s="2" t="s">
        <v>384</v>
      </c>
      <c r="B37" s="190"/>
      <c r="C37" s="190"/>
      <c r="D37" s="190"/>
      <c r="E37" s="190"/>
      <c r="F37" s="190"/>
      <c r="G37" s="190"/>
      <c r="H37" s="190"/>
      <c r="I37" s="190"/>
      <c r="J37" s="190">
        <v>16000</v>
      </c>
      <c r="K37" s="190"/>
      <c r="L37" s="190"/>
      <c r="M37" s="190"/>
      <c r="N37" s="6">
        <f t="shared" si="2"/>
        <v>16000</v>
      </c>
    </row>
    <row r="38" spans="1:14">
      <c r="A38" s="2" t="s">
        <v>412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>
        <v>7235</v>
      </c>
      <c r="L38" s="190"/>
      <c r="M38" s="190"/>
      <c r="N38" s="6">
        <f t="shared" si="2"/>
        <v>7235</v>
      </c>
    </row>
    <row r="39" spans="1:14">
      <c r="A39" s="2" t="s">
        <v>413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>
        <v>700</v>
      </c>
      <c r="L39" s="190"/>
      <c r="M39" s="190"/>
      <c r="N39" s="6">
        <f t="shared" si="2"/>
        <v>700</v>
      </c>
    </row>
    <row r="40" spans="1:14">
      <c r="A40" s="2" t="s">
        <v>414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>
        <v>320</v>
      </c>
      <c r="L40" s="190"/>
      <c r="M40" s="190"/>
      <c r="N40" s="6">
        <f t="shared" si="2"/>
        <v>320</v>
      </c>
    </row>
    <row r="41" spans="1:14">
      <c r="A41" s="2" t="s">
        <v>415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>
        <v>630</v>
      </c>
      <c r="L41" s="190"/>
      <c r="M41" s="190"/>
      <c r="N41" s="6">
        <f t="shared" si="2"/>
        <v>630</v>
      </c>
    </row>
    <row r="42" spans="1:14">
      <c r="A42" s="2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6">
        <f t="shared" si="2"/>
        <v>0</v>
      </c>
    </row>
    <row r="43" spans="1:14">
      <c r="A43" s="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6">
        <f t="shared" si="2"/>
        <v>0</v>
      </c>
    </row>
    <row r="44" spans="1:14">
      <c r="A44" s="2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6">
        <f t="shared" si="2"/>
        <v>0</v>
      </c>
    </row>
    <row r="45" spans="1:14">
      <c r="A45" s="2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">
        <f t="shared" si="2"/>
        <v>0</v>
      </c>
    </row>
    <row r="46" spans="1:14">
      <c r="A46" s="5" t="s">
        <v>14</v>
      </c>
      <c r="B46" s="225">
        <f>SUM(B4:B45)</f>
        <v>90104.69</v>
      </c>
      <c r="C46" s="225">
        <f t="shared" ref="C46:M46" si="4">SUM(C4:C45)</f>
        <v>76105.11</v>
      </c>
      <c r="D46" s="225">
        <f t="shared" si="4"/>
        <v>134348.87</v>
      </c>
      <c r="E46" s="225">
        <f t="shared" si="4"/>
        <v>192716.59000000003</v>
      </c>
      <c r="F46" s="225">
        <f t="shared" si="4"/>
        <v>123074.22</v>
      </c>
      <c r="G46" s="225">
        <f t="shared" si="4"/>
        <v>194408.68000000002</v>
      </c>
      <c r="H46" s="225">
        <f t="shared" si="4"/>
        <v>191906.91999999998</v>
      </c>
      <c r="I46" s="225">
        <f t="shared" si="4"/>
        <v>237238.96</v>
      </c>
      <c r="J46" s="225">
        <f t="shared" si="4"/>
        <v>254553.04000000004</v>
      </c>
      <c r="K46" s="225">
        <f t="shared" si="4"/>
        <v>235617.3</v>
      </c>
      <c r="L46" s="225">
        <f t="shared" si="4"/>
        <v>168841.56</v>
      </c>
      <c r="M46" s="225">
        <f t="shared" si="4"/>
        <v>0</v>
      </c>
      <c r="N46" s="225">
        <f>SUM(N4:N45)</f>
        <v>1898915.9399999997</v>
      </c>
    </row>
    <row r="48" spans="1:14">
      <c r="N48" s="234">
        <f>SUM(B46:M46)-N46</f>
        <v>0</v>
      </c>
    </row>
  </sheetData>
  <phoneticPr fontId="29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3"/>
  <sheetViews>
    <sheetView topLeftCell="A7" workbookViewId="0">
      <selection activeCell="A37" sqref="A37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133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9" si="0">SUM(B4:M4)</f>
        <v>16000</v>
      </c>
    </row>
    <row r="5" spans="1:14">
      <c r="A5" s="2" t="s">
        <v>134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146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147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>
        <v>10736</v>
      </c>
      <c r="J7" s="190">
        <f>1076+9684+513.25+10716</f>
        <v>21989.25</v>
      </c>
      <c r="K7" s="190">
        <v>10716</v>
      </c>
      <c r="L7" s="196"/>
      <c r="M7" s="196"/>
      <c r="N7" s="6">
        <f t="shared" si="0"/>
        <v>62817.020000000004</v>
      </c>
    </row>
    <row r="8" spans="1:14">
      <c r="A8" s="2" t="s">
        <v>193</v>
      </c>
      <c r="B8" s="93"/>
      <c r="C8" s="190"/>
      <c r="D8" s="93">
        <v>4508</v>
      </c>
      <c r="E8" s="190"/>
      <c r="F8" s="190"/>
      <c r="G8" s="190"/>
      <c r="H8" s="190"/>
      <c r="I8" s="190">
        <v>1871.2</v>
      </c>
      <c r="J8" s="190">
        <v>18687.2</v>
      </c>
      <c r="K8" s="190">
        <v>1883.2</v>
      </c>
      <c r="L8" s="196">
        <v>4725</v>
      </c>
      <c r="M8" s="196"/>
      <c r="N8" s="6">
        <f t="shared" si="0"/>
        <v>31674.600000000002</v>
      </c>
    </row>
    <row r="9" spans="1:14">
      <c r="A9" s="2" t="s">
        <v>149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>
        <v>1999</v>
      </c>
      <c r="J9" s="190"/>
      <c r="K9" s="190">
        <v>2094</v>
      </c>
      <c r="L9" s="196"/>
      <c r="M9" s="196"/>
      <c r="N9" s="6">
        <f t="shared" si="0"/>
        <v>8075.4</v>
      </c>
    </row>
    <row r="10" spans="1:14">
      <c r="A10" s="2" t="s">
        <v>148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158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170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185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194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205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247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>
        <v>2730.22</v>
      </c>
      <c r="K16" s="190"/>
      <c r="L16" s="196"/>
      <c r="M16" s="196"/>
      <c r="N16" s="9">
        <f t="shared" si="0"/>
        <v>5507.51</v>
      </c>
    </row>
    <row r="17" spans="1:14">
      <c r="A17" s="2" t="s">
        <v>269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270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271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285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287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>
        <v>6000</v>
      </c>
      <c r="K21" s="190"/>
      <c r="L21" s="196"/>
      <c r="M21" s="196"/>
      <c r="N21" s="9">
        <f t="shared" si="0"/>
        <v>42350</v>
      </c>
    </row>
    <row r="22" spans="1:14">
      <c r="A22" s="4" t="s">
        <v>360</v>
      </c>
      <c r="B22" s="93"/>
      <c r="C22" s="190"/>
      <c r="D22" s="93"/>
      <c r="E22" s="190"/>
      <c r="F22" s="190"/>
      <c r="G22" s="190"/>
      <c r="H22" s="190">
        <v>10536</v>
      </c>
      <c r="I22" s="190"/>
      <c r="J22" s="190"/>
      <c r="K22" s="190"/>
      <c r="L22" s="196"/>
      <c r="M22" s="196"/>
      <c r="N22" s="9">
        <f t="shared" si="0"/>
        <v>10536</v>
      </c>
    </row>
    <row r="23" spans="1:14">
      <c r="A23" s="4" t="s">
        <v>360</v>
      </c>
      <c r="B23" s="93"/>
      <c r="C23" s="190"/>
      <c r="D23" s="93"/>
      <c r="E23" s="190"/>
      <c r="F23" s="190"/>
      <c r="G23" s="190"/>
      <c r="H23" s="190">
        <v>10596</v>
      </c>
      <c r="I23" s="190"/>
      <c r="J23" s="190"/>
      <c r="K23" s="190"/>
      <c r="L23" s="196"/>
      <c r="M23" s="196"/>
      <c r="N23" s="9">
        <f t="shared" si="0"/>
        <v>10596</v>
      </c>
    </row>
    <row r="24" spans="1:14">
      <c r="A24" s="4" t="s">
        <v>361</v>
      </c>
      <c r="B24" s="93"/>
      <c r="C24" s="190"/>
      <c r="D24" s="93"/>
      <c r="E24" s="190"/>
      <c r="F24" s="190"/>
      <c r="G24" s="190"/>
      <c r="H24" s="190">
        <v>550</v>
      </c>
      <c r="I24" s="190"/>
      <c r="J24" s="190"/>
      <c r="K24" s="190"/>
      <c r="L24" s="196"/>
      <c r="M24" s="196"/>
      <c r="N24" s="9">
        <f t="shared" si="0"/>
        <v>550</v>
      </c>
    </row>
    <row r="25" spans="1:14">
      <c r="A25" s="4" t="s">
        <v>362</v>
      </c>
      <c r="B25" s="93"/>
      <c r="C25" s="190"/>
      <c r="D25" s="93"/>
      <c r="E25" s="190"/>
      <c r="F25" s="190"/>
      <c r="G25" s="190"/>
      <c r="H25" s="190">
        <v>2063.1999999999998</v>
      </c>
      <c r="I25" s="190"/>
      <c r="J25" s="190"/>
      <c r="K25" s="190">
        <v>2079</v>
      </c>
      <c r="L25" s="196"/>
      <c r="M25" s="196"/>
      <c r="N25" s="9">
        <f t="shared" si="0"/>
        <v>4142.2</v>
      </c>
    </row>
    <row r="26" spans="1:14">
      <c r="A26" s="4" t="s">
        <v>369</v>
      </c>
      <c r="B26" s="93"/>
      <c r="C26" s="190"/>
      <c r="D26" s="93"/>
      <c r="E26" s="190"/>
      <c r="F26" s="190"/>
      <c r="G26" s="190"/>
      <c r="H26" s="190"/>
      <c r="I26" s="190">
        <v>4620</v>
      </c>
      <c r="J26" s="190"/>
      <c r="K26" s="190"/>
      <c r="L26" s="196"/>
      <c r="M26" s="196"/>
      <c r="N26" s="9">
        <f t="shared" si="0"/>
        <v>4620</v>
      </c>
    </row>
    <row r="27" spans="1:14">
      <c r="A27" s="4" t="s">
        <v>373</v>
      </c>
      <c r="B27" s="93"/>
      <c r="C27" s="190"/>
      <c r="D27" s="93"/>
      <c r="E27" s="190"/>
      <c r="F27" s="190"/>
      <c r="G27" s="190"/>
      <c r="H27" s="190"/>
      <c r="I27" s="190">
        <v>1110</v>
      </c>
      <c r="J27" s="190"/>
      <c r="K27" s="190"/>
      <c r="L27" s="196"/>
      <c r="M27" s="196"/>
      <c r="N27" s="9">
        <f t="shared" si="0"/>
        <v>1110</v>
      </c>
    </row>
    <row r="28" spans="1:14">
      <c r="A28" s="4" t="s">
        <v>374</v>
      </c>
      <c r="B28" s="93"/>
      <c r="C28" s="190"/>
      <c r="D28" s="93"/>
      <c r="E28" s="190"/>
      <c r="F28" s="190"/>
      <c r="G28" s="190"/>
      <c r="H28" s="190"/>
      <c r="I28" s="190">
        <v>3500</v>
      </c>
      <c r="J28" s="190"/>
      <c r="K28" s="190"/>
      <c r="L28" s="196"/>
      <c r="M28" s="196"/>
      <c r="N28" s="9">
        <f t="shared" si="0"/>
        <v>3500</v>
      </c>
    </row>
    <row r="29" spans="1:14">
      <c r="A29" s="4" t="s">
        <v>386</v>
      </c>
      <c r="B29" s="93"/>
      <c r="C29" s="190"/>
      <c r="D29" s="93"/>
      <c r="E29" s="190"/>
      <c r="F29" s="190"/>
      <c r="G29" s="190"/>
      <c r="H29" s="190"/>
      <c r="I29" s="190"/>
      <c r="J29" s="190">
        <v>5625</v>
      </c>
      <c r="K29" s="190"/>
      <c r="L29" s="190"/>
      <c r="M29" s="196"/>
      <c r="N29" s="9">
        <f t="shared" si="0"/>
        <v>5625</v>
      </c>
    </row>
    <row r="30" spans="1:14">
      <c r="A30" s="4" t="s">
        <v>387</v>
      </c>
      <c r="B30" s="93"/>
      <c r="C30" s="190"/>
      <c r="D30" s="93"/>
      <c r="E30" s="190"/>
      <c r="F30" s="190"/>
      <c r="G30" s="190"/>
      <c r="H30" s="190"/>
      <c r="I30" s="190"/>
      <c r="J30" s="190">
        <v>5950</v>
      </c>
      <c r="K30" s="190"/>
      <c r="L30" s="190"/>
      <c r="M30" s="196"/>
      <c r="N30" s="9">
        <f t="shared" si="0"/>
        <v>5950</v>
      </c>
    </row>
    <row r="31" spans="1:14">
      <c r="A31" s="4" t="s">
        <v>393</v>
      </c>
      <c r="B31" s="93"/>
      <c r="C31" s="190"/>
      <c r="D31" s="93"/>
      <c r="E31" s="190"/>
      <c r="F31" s="190"/>
      <c r="G31" s="190"/>
      <c r="H31" s="190"/>
      <c r="I31" s="190"/>
      <c r="J31" s="190">
        <v>1010</v>
      </c>
      <c r="K31" s="190"/>
      <c r="L31" s="196"/>
      <c r="M31" s="196"/>
      <c r="N31" s="9">
        <f t="shared" si="0"/>
        <v>1010</v>
      </c>
    </row>
    <row r="32" spans="1:14">
      <c r="A32" s="4" t="s">
        <v>404</v>
      </c>
      <c r="B32" s="93"/>
      <c r="C32" s="190"/>
      <c r="D32" s="93"/>
      <c r="E32" s="190"/>
      <c r="F32" s="190"/>
      <c r="G32" s="190"/>
      <c r="H32" s="190"/>
      <c r="I32" s="190"/>
      <c r="J32" s="190"/>
      <c r="K32" s="190">
        <v>1310</v>
      </c>
      <c r="L32" s="196"/>
      <c r="M32" s="196"/>
      <c r="N32" s="9">
        <f t="shared" si="0"/>
        <v>1310</v>
      </c>
    </row>
    <row r="33" spans="1:14">
      <c r="A33" s="4" t="s">
        <v>405</v>
      </c>
      <c r="B33" s="93"/>
      <c r="C33" s="190"/>
      <c r="D33" s="93"/>
      <c r="E33" s="190"/>
      <c r="F33" s="190"/>
      <c r="G33" s="190"/>
      <c r="H33" s="190"/>
      <c r="I33" s="190"/>
      <c r="J33" s="190"/>
      <c r="K33" s="190">
        <v>680</v>
      </c>
      <c r="L33" s="196"/>
      <c r="M33" s="196"/>
      <c r="N33" s="9">
        <f t="shared" si="0"/>
        <v>680</v>
      </c>
    </row>
    <row r="34" spans="1:14">
      <c r="A34" s="4" t="s">
        <v>406</v>
      </c>
      <c r="B34" s="93"/>
      <c r="C34" s="190"/>
      <c r="D34" s="93"/>
      <c r="E34" s="190"/>
      <c r="F34" s="190"/>
      <c r="G34" s="190"/>
      <c r="H34" s="190"/>
      <c r="I34" s="190"/>
      <c r="J34" s="190"/>
      <c r="K34" s="190">
        <v>12950</v>
      </c>
      <c r="L34" s="196"/>
      <c r="M34" s="196"/>
      <c r="N34" s="9">
        <f t="shared" si="0"/>
        <v>12950</v>
      </c>
    </row>
    <row r="35" spans="1:14">
      <c r="A35" s="4" t="s">
        <v>417</v>
      </c>
      <c r="B35" s="93"/>
      <c r="C35" s="190"/>
      <c r="D35" s="93"/>
      <c r="E35" s="190"/>
      <c r="F35" s="190"/>
      <c r="G35" s="190"/>
      <c r="H35" s="190"/>
      <c r="I35" s="190"/>
      <c r="J35" s="190"/>
      <c r="K35" s="190">
        <v>250</v>
      </c>
      <c r="L35" s="196"/>
      <c r="M35" s="196"/>
      <c r="N35" s="9">
        <f t="shared" si="0"/>
        <v>250</v>
      </c>
    </row>
    <row r="36" spans="1:14">
      <c r="A36" s="4" t="s">
        <v>424</v>
      </c>
      <c r="B36" s="93"/>
      <c r="C36" s="190"/>
      <c r="D36" s="93"/>
      <c r="E36" s="190"/>
      <c r="F36" s="190"/>
      <c r="G36" s="190"/>
      <c r="H36" s="190"/>
      <c r="I36" s="190"/>
      <c r="J36" s="190"/>
      <c r="K36" s="190"/>
      <c r="L36" s="196">
        <f>340+340</f>
        <v>680</v>
      </c>
      <c r="M36" s="196"/>
      <c r="N36" s="9">
        <f t="shared" si="0"/>
        <v>680</v>
      </c>
    </row>
    <row r="37" spans="1:14">
      <c r="A37" s="4" t="s">
        <v>425</v>
      </c>
      <c r="B37" s="93"/>
      <c r="C37" s="190"/>
      <c r="D37" s="93"/>
      <c r="E37" s="190"/>
      <c r="F37" s="190"/>
      <c r="G37" s="190"/>
      <c r="H37" s="190"/>
      <c r="I37" s="190"/>
      <c r="J37" s="190"/>
      <c r="K37" s="190"/>
      <c r="L37" s="196">
        <f>4300+5280</f>
        <v>9580</v>
      </c>
      <c r="M37" s="196"/>
      <c r="N37" s="9">
        <f t="shared" si="0"/>
        <v>9580</v>
      </c>
    </row>
    <row r="38" spans="1:14">
      <c r="A38" s="4"/>
      <c r="B38" s="93"/>
      <c r="C38" s="190"/>
      <c r="D38" s="93"/>
      <c r="E38" s="190"/>
      <c r="F38" s="190"/>
      <c r="G38" s="190"/>
      <c r="H38" s="190"/>
      <c r="I38" s="190"/>
      <c r="J38" s="190"/>
      <c r="K38" s="190"/>
      <c r="L38" s="196"/>
      <c r="M38" s="196"/>
      <c r="N38" s="9">
        <f t="shared" si="0"/>
        <v>0</v>
      </c>
    </row>
    <row r="39" spans="1:14">
      <c r="A39" s="4"/>
      <c r="B39" s="93"/>
      <c r="C39" s="190"/>
      <c r="D39" s="93"/>
      <c r="E39" s="190"/>
      <c r="F39" s="190"/>
      <c r="G39" s="190"/>
      <c r="H39" s="190"/>
      <c r="I39" s="190"/>
      <c r="J39" s="190"/>
      <c r="K39" s="190"/>
      <c r="L39" s="196"/>
      <c r="M39" s="196"/>
      <c r="N39" s="9">
        <f t="shared" si="0"/>
        <v>0</v>
      </c>
    </row>
    <row r="40" spans="1:14">
      <c r="A40" s="5" t="s">
        <v>14</v>
      </c>
      <c r="B40" s="224">
        <f t="shared" ref="B40:N40" si="1">SUM(B4:B39)</f>
        <v>41127.49</v>
      </c>
      <c r="C40" s="224">
        <f t="shared" si="1"/>
        <v>3920</v>
      </c>
      <c r="D40" s="224">
        <f t="shared" si="1"/>
        <v>35714.97</v>
      </c>
      <c r="E40" s="224">
        <f t="shared" si="1"/>
        <v>0</v>
      </c>
      <c r="F40" s="224">
        <f t="shared" si="1"/>
        <v>6377.29</v>
      </c>
      <c r="G40" s="224">
        <f t="shared" si="1"/>
        <v>61050</v>
      </c>
      <c r="H40" s="224">
        <f t="shared" si="1"/>
        <v>23745.200000000001</v>
      </c>
      <c r="I40" s="224">
        <f t="shared" si="1"/>
        <v>23836.2</v>
      </c>
      <c r="J40" s="224">
        <f t="shared" si="1"/>
        <v>61991.67</v>
      </c>
      <c r="K40" s="224">
        <f t="shared" si="1"/>
        <v>31962.2</v>
      </c>
      <c r="L40" s="224">
        <f t="shared" si="1"/>
        <v>14985</v>
      </c>
      <c r="M40" s="224">
        <f t="shared" si="1"/>
        <v>0</v>
      </c>
      <c r="N40" s="228">
        <f t="shared" si="1"/>
        <v>304710.02</v>
      </c>
    </row>
    <row r="42" spans="1:14">
      <c r="N42" s="234">
        <f>SUM(B40:M40)-N40</f>
        <v>0</v>
      </c>
    </row>
    <row r="43" spans="1:14">
      <c r="G43" s="192"/>
      <c r="H43" s="192"/>
    </row>
  </sheetData>
  <phoneticPr fontId="29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28" workbookViewId="0">
      <selection activeCell="A58" sqref="A58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7" width="9.140625" style="30"/>
    <col min="8" max="8" width="10.42578125" style="30" bestFit="1" customWidth="1"/>
    <col min="9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6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>
        <f>2063.2+2124</f>
        <v>4187.2</v>
      </c>
      <c r="J4" s="93">
        <f>2071.2+2094</f>
        <v>4165.2</v>
      </c>
      <c r="K4" s="93">
        <f>2083.2+2011.6</f>
        <v>4094.7999999999997</v>
      </c>
      <c r="L4" s="237"/>
      <c r="M4" s="237"/>
      <c r="N4" s="29">
        <f t="shared" si="0"/>
        <v>34468.600000000006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>
        <f>9979.2-9.5+10736+10716</f>
        <v>31421.7</v>
      </c>
      <c r="J5" s="93"/>
      <c r="K5" s="93">
        <v>10716</v>
      </c>
      <c r="L5" s="237"/>
      <c r="M5" s="237"/>
      <c r="N5" s="29">
        <f t="shared" si="0"/>
        <v>81868.62999999999</v>
      </c>
    </row>
    <row r="6" spans="1:14">
      <c r="A6" s="215" t="s">
        <v>141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163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173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174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175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176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177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178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179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189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196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197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210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217</v>
      </c>
      <c r="B19" s="93"/>
      <c r="C19" s="93"/>
      <c r="D19" s="93"/>
      <c r="E19" s="93">
        <v>1250</v>
      </c>
      <c r="F19" s="93"/>
      <c r="G19" s="93"/>
      <c r="H19" s="93"/>
      <c r="I19" s="93">
        <v>600</v>
      </c>
      <c r="J19" s="93"/>
      <c r="K19" s="93"/>
      <c r="L19" s="93"/>
      <c r="M19" s="237"/>
      <c r="N19" s="29">
        <f t="shared" si="0"/>
        <v>1850</v>
      </c>
    </row>
    <row r="20" spans="1:14">
      <c r="A20" s="17" t="s">
        <v>218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219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220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221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253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274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144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286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/>
      <c r="N27" s="29">
        <f t="shared" si="0"/>
        <v>14500</v>
      </c>
    </row>
    <row r="28" spans="1:14">
      <c r="A28" s="17" t="s">
        <v>167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291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292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293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294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266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60" si="1">SUM(B33:M33)</f>
        <v>780</v>
      </c>
    </row>
    <row r="34" spans="1:14">
      <c r="A34" s="17" t="s">
        <v>295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300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301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>
      <c r="A37" s="17" t="s">
        <v>302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17" t="s">
        <v>318</v>
      </c>
      <c r="B38" s="93"/>
      <c r="C38" s="93"/>
      <c r="D38" s="93"/>
      <c r="E38" s="93"/>
      <c r="F38" s="93"/>
      <c r="G38" s="93"/>
      <c r="H38" s="93">
        <v>2043.2</v>
      </c>
      <c r="I38" s="93"/>
      <c r="J38" s="93"/>
      <c r="K38" s="93"/>
      <c r="L38" s="237"/>
      <c r="M38" s="237"/>
      <c r="N38" s="29">
        <f t="shared" si="1"/>
        <v>2043.2</v>
      </c>
    </row>
    <row r="39" spans="1:14">
      <c r="A39" s="17" t="s">
        <v>319</v>
      </c>
      <c r="B39" s="93"/>
      <c r="C39" s="93"/>
      <c r="D39" s="93"/>
      <c r="E39" s="93"/>
      <c r="F39" s="93"/>
      <c r="G39" s="93"/>
      <c r="H39" s="93">
        <v>16945</v>
      </c>
      <c r="I39" s="93"/>
      <c r="J39" s="93"/>
      <c r="K39" s="93"/>
      <c r="L39" s="237"/>
      <c r="M39" s="237"/>
      <c r="N39" s="29">
        <f t="shared" si="1"/>
        <v>16945</v>
      </c>
    </row>
    <row r="40" spans="1:14">
      <c r="A40" s="17" t="s">
        <v>320</v>
      </c>
      <c r="B40" s="93"/>
      <c r="C40" s="93"/>
      <c r="D40" s="93"/>
      <c r="E40" s="93"/>
      <c r="F40" s="93"/>
      <c r="G40" s="93"/>
      <c r="H40" s="93">
        <v>2600</v>
      </c>
      <c r="I40" s="93"/>
      <c r="J40" s="93"/>
      <c r="K40" s="93"/>
      <c r="L40" s="237"/>
      <c r="M40" s="237"/>
      <c r="N40" s="29">
        <f t="shared" si="1"/>
        <v>2600</v>
      </c>
    </row>
    <row r="41" spans="1:14">
      <c r="A41" s="17" t="s">
        <v>321</v>
      </c>
      <c r="B41" s="93"/>
      <c r="C41" s="93"/>
      <c r="D41" s="93"/>
      <c r="E41" s="93"/>
      <c r="F41" s="93"/>
      <c r="G41" s="93"/>
      <c r="H41" s="93">
        <v>1851.2</v>
      </c>
      <c r="I41" s="93"/>
      <c r="J41" s="93"/>
      <c r="K41" s="93"/>
      <c r="L41" s="237"/>
      <c r="M41" s="237"/>
      <c r="N41" s="29">
        <f t="shared" si="1"/>
        <v>1851.2</v>
      </c>
    </row>
    <row r="42" spans="1:14">
      <c r="A42" s="17" t="s">
        <v>322</v>
      </c>
      <c r="B42" s="93"/>
      <c r="C42" s="93"/>
      <c r="D42" s="93"/>
      <c r="E42" s="93"/>
      <c r="F42" s="93"/>
      <c r="G42" s="93"/>
      <c r="H42" s="93">
        <v>10456</v>
      </c>
      <c r="I42" s="93"/>
      <c r="J42" s="93"/>
      <c r="K42" s="93"/>
      <c r="L42" s="237"/>
      <c r="M42" s="237"/>
      <c r="N42" s="29">
        <f t="shared" si="1"/>
        <v>10456</v>
      </c>
    </row>
    <row r="43" spans="1:14">
      <c r="A43" s="17" t="s">
        <v>323</v>
      </c>
      <c r="B43" s="93"/>
      <c r="C43" s="93"/>
      <c r="D43" s="93"/>
      <c r="E43" s="93"/>
      <c r="F43" s="93"/>
      <c r="G43" s="93"/>
      <c r="H43" s="93">
        <v>921.6</v>
      </c>
      <c r="I43" s="93"/>
      <c r="J43" s="93"/>
      <c r="K43" s="93"/>
      <c r="L43" s="237"/>
      <c r="M43" s="237"/>
      <c r="N43" s="29">
        <f t="shared" si="1"/>
        <v>921.6</v>
      </c>
    </row>
    <row r="44" spans="1:14">
      <c r="A44" s="17" t="s">
        <v>324</v>
      </c>
      <c r="B44" s="93"/>
      <c r="C44" s="93"/>
      <c r="D44" s="93"/>
      <c r="E44" s="93"/>
      <c r="F44" s="93"/>
      <c r="G44" s="93"/>
      <c r="H44" s="93">
        <v>6460</v>
      </c>
      <c r="I44" s="93"/>
      <c r="J44" s="93"/>
      <c r="K44" s="93"/>
      <c r="L44" s="237"/>
      <c r="M44" s="237"/>
      <c r="N44" s="29">
        <f t="shared" si="1"/>
        <v>6460</v>
      </c>
    </row>
    <row r="45" spans="1:14">
      <c r="A45" s="17" t="s">
        <v>325</v>
      </c>
      <c r="B45" s="93"/>
      <c r="C45" s="93"/>
      <c r="D45" s="93"/>
      <c r="E45" s="93"/>
      <c r="F45" s="93"/>
      <c r="G45" s="93"/>
      <c r="H45" s="93">
        <v>4250</v>
      </c>
      <c r="I45" s="93"/>
      <c r="J45" s="93"/>
      <c r="K45" s="93"/>
      <c r="L45" s="237"/>
      <c r="M45" s="237"/>
      <c r="N45" s="29">
        <f t="shared" si="1"/>
        <v>4250</v>
      </c>
    </row>
    <row r="46" spans="1:14">
      <c r="A46" s="17" t="s">
        <v>326</v>
      </c>
      <c r="B46" s="93"/>
      <c r="C46" s="93"/>
      <c r="D46" s="93"/>
      <c r="E46" s="93"/>
      <c r="F46" s="93"/>
      <c r="G46" s="93"/>
      <c r="H46" s="93">
        <v>3652</v>
      </c>
      <c r="I46" s="93"/>
      <c r="J46" s="93"/>
      <c r="K46" s="93"/>
      <c r="L46" s="237"/>
      <c r="M46" s="237"/>
      <c r="N46" s="29">
        <f t="shared" si="1"/>
        <v>3652</v>
      </c>
    </row>
    <row r="47" spans="1:14">
      <c r="A47" s="17" t="s">
        <v>327</v>
      </c>
      <c r="B47" s="93"/>
      <c r="C47" s="93"/>
      <c r="D47" s="93"/>
      <c r="E47" s="93"/>
      <c r="F47" s="93"/>
      <c r="G47" s="93"/>
      <c r="H47" s="93">
        <v>1500</v>
      </c>
      <c r="I47" s="93"/>
      <c r="J47" s="93"/>
      <c r="K47" s="93"/>
      <c r="L47" s="237"/>
      <c r="M47" s="237"/>
      <c r="N47" s="29">
        <f t="shared" si="1"/>
        <v>1500</v>
      </c>
    </row>
    <row r="48" spans="1:14">
      <c r="A48" s="17" t="s">
        <v>328</v>
      </c>
      <c r="B48" s="93"/>
      <c r="C48" s="93"/>
      <c r="D48" s="93"/>
      <c r="E48" s="93"/>
      <c r="F48" s="93"/>
      <c r="G48" s="93"/>
      <c r="H48" s="93">
        <v>1340</v>
      </c>
      <c r="I48" s="93"/>
      <c r="J48" s="93"/>
      <c r="K48" s="93"/>
      <c r="L48" s="237"/>
      <c r="M48" s="237"/>
      <c r="N48" s="29">
        <f t="shared" si="1"/>
        <v>1340</v>
      </c>
    </row>
    <row r="49" spans="1:14">
      <c r="A49" s="17" t="s">
        <v>329</v>
      </c>
      <c r="B49" s="93"/>
      <c r="C49" s="93"/>
      <c r="D49" s="93"/>
      <c r="E49" s="93"/>
      <c r="F49" s="93"/>
      <c r="G49" s="93"/>
      <c r="H49" s="93">
        <v>927.6</v>
      </c>
      <c r="I49" s="93"/>
      <c r="J49" s="93"/>
      <c r="K49" s="93"/>
      <c r="L49" s="237"/>
      <c r="M49" s="237"/>
      <c r="N49" s="29">
        <f t="shared" si="1"/>
        <v>927.6</v>
      </c>
    </row>
    <row r="50" spans="1:14">
      <c r="A50" s="17" t="s">
        <v>330</v>
      </c>
      <c r="B50" s="93"/>
      <c r="C50" s="93"/>
      <c r="D50" s="93"/>
      <c r="E50" s="93"/>
      <c r="F50" s="93"/>
      <c r="G50" s="93"/>
      <c r="H50" s="93">
        <v>1859.2</v>
      </c>
      <c r="I50" s="93"/>
      <c r="J50" s="93"/>
      <c r="K50" s="93"/>
      <c r="L50" s="237"/>
      <c r="M50" s="237"/>
      <c r="N50" s="29">
        <f t="shared" si="1"/>
        <v>1859.2</v>
      </c>
    </row>
    <row r="51" spans="1:14">
      <c r="A51" s="17" t="s">
        <v>331</v>
      </c>
      <c r="B51" s="93"/>
      <c r="C51" s="93"/>
      <c r="D51" s="93"/>
      <c r="E51" s="93"/>
      <c r="F51" s="93"/>
      <c r="G51" s="93"/>
      <c r="H51" s="93">
        <v>650</v>
      </c>
      <c r="I51" s="93"/>
      <c r="J51" s="93"/>
      <c r="K51" s="93"/>
      <c r="L51" s="237"/>
      <c r="M51" s="237"/>
      <c r="N51" s="29">
        <f t="shared" si="1"/>
        <v>650</v>
      </c>
    </row>
    <row r="52" spans="1:14">
      <c r="A52" s="17" t="s">
        <v>332</v>
      </c>
      <c r="B52" s="93"/>
      <c r="C52" s="93"/>
      <c r="D52" s="93"/>
      <c r="E52" s="93"/>
      <c r="F52" s="93"/>
      <c r="G52" s="93"/>
      <c r="H52" s="93">
        <v>1870</v>
      </c>
      <c r="I52" s="93"/>
      <c r="J52" s="93"/>
      <c r="K52" s="93"/>
      <c r="L52" s="237"/>
      <c r="M52" s="237"/>
      <c r="N52" s="29">
        <f t="shared" si="1"/>
        <v>1870</v>
      </c>
    </row>
    <row r="53" spans="1:14">
      <c r="A53" s="17" t="s">
        <v>369</v>
      </c>
      <c r="B53" s="93"/>
      <c r="C53" s="93"/>
      <c r="D53" s="93"/>
      <c r="E53" s="93"/>
      <c r="F53" s="93"/>
      <c r="G53" s="93"/>
      <c r="H53" s="93"/>
      <c r="I53" s="93">
        <v>2170</v>
      </c>
      <c r="J53" s="93"/>
      <c r="K53" s="93"/>
      <c r="L53" s="237"/>
      <c r="M53" s="237"/>
      <c r="N53" s="29">
        <f t="shared" si="1"/>
        <v>2170</v>
      </c>
    </row>
    <row r="54" spans="1:14">
      <c r="A54" s="17" t="s">
        <v>370</v>
      </c>
      <c r="B54" s="93"/>
      <c r="C54" s="93"/>
      <c r="D54" s="93"/>
      <c r="E54" s="93"/>
      <c r="F54" s="93"/>
      <c r="G54" s="93"/>
      <c r="H54" s="93"/>
      <c r="I54" s="93">
        <v>520</v>
      </c>
      <c r="J54" s="93"/>
      <c r="K54" s="93"/>
      <c r="L54" s="237"/>
      <c r="M54" s="237"/>
      <c r="N54" s="29">
        <f t="shared" si="1"/>
        <v>520</v>
      </c>
    </row>
    <row r="55" spans="1:14">
      <c r="A55" s="17" t="s">
        <v>380</v>
      </c>
      <c r="B55" s="93"/>
      <c r="C55" s="93"/>
      <c r="D55" s="93"/>
      <c r="E55" s="93"/>
      <c r="F55" s="93"/>
      <c r="G55" s="93"/>
      <c r="H55" s="93"/>
      <c r="I55" s="93">
        <v>640</v>
      </c>
      <c r="J55" s="93"/>
      <c r="K55" s="93"/>
      <c r="L55" s="237"/>
      <c r="M55" s="237"/>
      <c r="N55" s="29">
        <f t="shared" si="1"/>
        <v>640</v>
      </c>
    </row>
    <row r="56" spans="1:14">
      <c r="A56" s="17" t="s">
        <v>388</v>
      </c>
      <c r="B56" s="93"/>
      <c r="C56" s="93"/>
      <c r="D56" s="93"/>
      <c r="E56" s="93"/>
      <c r="F56" s="93"/>
      <c r="G56" s="93"/>
      <c r="H56" s="93"/>
      <c r="I56" s="93"/>
      <c r="J56" s="93">
        <v>210</v>
      </c>
      <c r="K56" s="93"/>
      <c r="L56" s="237"/>
      <c r="M56" s="237"/>
      <c r="N56" s="29">
        <f t="shared" si="1"/>
        <v>210</v>
      </c>
    </row>
    <row r="57" spans="1:14">
      <c r="A57" s="17" t="s">
        <v>402</v>
      </c>
      <c r="B57" s="93"/>
      <c r="C57" s="93"/>
      <c r="D57" s="93"/>
      <c r="E57" s="93"/>
      <c r="F57" s="93"/>
      <c r="G57" s="93"/>
      <c r="H57" s="93"/>
      <c r="I57" s="93"/>
      <c r="J57" s="93"/>
      <c r="K57" s="93">
        <v>820</v>
      </c>
      <c r="L57" s="237"/>
      <c r="M57" s="237"/>
      <c r="N57" s="29">
        <f t="shared" si="1"/>
        <v>820</v>
      </c>
    </row>
    <row r="58" spans="1:14">
      <c r="A58" s="17" t="s">
        <v>423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37">
        <v>1641</v>
      </c>
      <c r="M58" s="237"/>
      <c r="N58" s="29">
        <f t="shared" si="1"/>
        <v>1641</v>
      </c>
    </row>
    <row r="59" spans="1:14">
      <c r="A59" s="17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37"/>
      <c r="M59" s="237"/>
      <c r="N59" s="29">
        <f t="shared" si="1"/>
        <v>0</v>
      </c>
    </row>
    <row r="60" spans="1:14">
      <c r="A60" s="17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37"/>
      <c r="M60" s="237"/>
      <c r="N60" s="29">
        <f t="shared" si="1"/>
        <v>0</v>
      </c>
    </row>
    <row r="61" spans="1:14">
      <c r="A61" s="17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37"/>
      <c r="M61" s="237"/>
      <c r="N61" s="29">
        <f t="shared" si="0"/>
        <v>0</v>
      </c>
    </row>
    <row r="62" spans="1:14">
      <c r="A62" s="5" t="s">
        <v>14</v>
      </c>
      <c r="B62" s="226">
        <f t="shared" ref="B62:M62" si="2">SUM(B3:B61)</f>
        <v>13480.2</v>
      </c>
      <c r="C62" s="226">
        <f t="shared" si="2"/>
        <v>37009</v>
      </c>
      <c r="D62" s="226">
        <f t="shared" si="2"/>
        <v>41317.699999999997</v>
      </c>
      <c r="E62" s="226">
        <f t="shared" si="2"/>
        <v>71655.73</v>
      </c>
      <c r="F62" s="226">
        <f t="shared" si="2"/>
        <v>13223.11</v>
      </c>
      <c r="G62" s="226">
        <f t="shared" si="2"/>
        <v>52521.38</v>
      </c>
      <c r="H62" s="226">
        <f t="shared" si="2"/>
        <v>57325.799999999996</v>
      </c>
      <c r="I62" s="226">
        <f t="shared" si="2"/>
        <v>39538.9</v>
      </c>
      <c r="J62" s="226">
        <f t="shared" si="2"/>
        <v>4375.2</v>
      </c>
      <c r="K62" s="226">
        <f t="shared" si="2"/>
        <v>15630.8</v>
      </c>
      <c r="L62" s="226">
        <f t="shared" si="2"/>
        <v>1641</v>
      </c>
      <c r="M62" s="226">
        <f t="shared" si="2"/>
        <v>0</v>
      </c>
      <c r="N62" s="226">
        <f>SUM(N3:N61)</f>
        <v>347718.82</v>
      </c>
    </row>
    <row r="64" spans="1:14">
      <c r="N64" s="234">
        <f>SUM(B62:M62)-N62</f>
        <v>0</v>
      </c>
    </row>
  </sheetData>
  <phoneticPr fontId="29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R18" sqref="R18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2" width="12.7109375" customWidth="1"/>
    <col min="13" max="13" width="12.85546875" customWidth="1"/>
    <col min="14" max="14" width="13.28515625" customWidth="1"/>
    <col min="15" max="15" width="13.5703125" customWidth="1"/>
    <col min="16" max="18" width="10.140625" bestFit="1" customWidth="1"/>
    <col min="19" max="19" width="11.140625" hidden="1" customWidth="1"/>
    <col min="20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2" t="s">
        <v>418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63"/>
      <c r="Q2" s="163"/>
      <c r="R2" s="163"/>
      <c r="S2" s="163"/>
      <c r="T2" s="163"/>
      <c r="U2" s="30">
        <v>11</v>
      </c>
    </row>
    <row r="3" spans="1:23" ht="37.5" customHeight="1">
      <c r="A3" s="358" t="s">
        <v>65</v>
      </c>
      <c r="B3" s="359"/>
      <c r="C3" s="359"/>
      <c r="D3" s="359"/>
      <c r="E3" s="360"/>
      <c r="F3" s="349" t="s">
        <v>80</v>
      </c>
      <c r="G3" s="349" t="s">
        <v>87</v>
      </c>
      <c r="H3" s="362" t="s">
        <v>1</v>
      </c>
      <c r="I3" s="362" t="s">
        <v>2</v>
      </c>
      <c r="J3" s="362" t="s">
        <v>3</v>
      </c>
      <c r="K3" s="362" t="s">
        <v>4</v>
      </c>
      <c r="L3" s="362" t="s">
        <v>5</v>
      </c>
      <c r="M3" s="362" t="s">
        <v>6</v>
      </c>
      <c r="N3" s="362" t="s">
        <v>7</v>
      </c>
      <c r="O3" s="362" t="s">
        <v>8</v>
      </c>
      <c r="P3" s="362" t="s">
        <v>9</v>
      </c>
      <c r="Q3" s="362" t="s">
        <v>10</v>
      </c>
      <c r="R3" s="362" t="s">
        <v>11</v>
      </c>
      <c r="S3" s="362" t="s">
        <v>12</v>
      </c>
      <c r="T3" s="349" t="str">
        <f>CONCATENATE("Итого за ",U2," мес.")</f>
        <v>Итого за 11 мес.</v>
      </c>
      <c r="U3" s="349" t="str">
        <f>CONCATENATE("Бюджет          за ",U2," мес.")</f>
        <v>Бюджет          за 11 мес.</v>
      </c>
      <c r="V3" s="351" t="s">
        <v>71</v>
      </c>
    </row>
    <row r="4" spans="1:23" ht="15" customHeight="1">
      <c r="A4" s="40"/>
      <c r="B4" s="41"/>
      <c r="C4" s="41"/>
      <c r="D4" s="41"/>
      <c r="E4" s="41"/>
      <c r="F4" s="361"/>
      <c r="G4" s="361"/>
      <c r="H4" s="363"/>
      <c r="I4" s="363"/>
      <c r="J4" s="363"/>
      <c r="K4" s="363"/>
      <c r="L4" s="363" t="s">
        <v>5</v>
      </c>
      <c r="M4" s="363" t="s">
        <v>6</v>
      </c>
      <c r="N4" s="363" t="s">
        <v>7</v>
      </c>
      <c r="O4" s="363" t="s">
        <v>8</v>
      </c>
      <c r="P4" s="363" t="s">
        <v>9</v>
      </c>
      <c r="Q4" s="363" t="s">
        <v>10</v>
      </c>
      <c r="R4" s="363" t="s">
        <v>11</v>
      </c>
      <c r="S4" s="363" t="s">
        <v>12</v>
      </c>
      <c r="T4" s="361"/>
      <c r="U4" s="350"/>
      <c r="V4" s="352"/>
    </row>
    <row r="5" spans="1:23" ht="15" customHeight="1">
      <c r="A5" s="313" t="s">
        <v>115</v>
      </c>
      <c r="B5" s="164"/>
      <c r="C5" s="164"/>
      <c r="D5" s="164"/>
      <c r="E5" s="164"/>
      <c r="F5" s="110">
        <v>2400000</v>
      </c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0"/>
      <c r="U5" s="322"/>
      <c r="V5" s="319"/>
    </row>
    <row r="6" spans="1:23" ht="15.75">
      <c r="A6" s="313" t="s">
        <v>76</v>
      </c>
      <c r="B6" s="314"/>
      <c r="C6" s="314"/>
      <c r="D6" s="314"/>
      <c r="E6" s="314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>
        <f>326+2949201.44</f>
        <v>2949527.44</v>
      </c>
      <c r="O6" s="113">
        <f>326+2822662.16</f>
        <v>2822988.16</v>
      </c>
      <c r="P6" s="235">
        <f>326+3233752.67</f>
        <v>3234078.67</v>
      </c>
      <c r="Q6" s="113">
        <f>326+3356312</f>
        <v>3356638</v>
      </c>
      <c r="R6" s="113">
        <f>326+2884023.55</f>
        <v>2884349.55</v>
      </c>
      <c r="S6" s="235"/>
      <c r="T6" s="116">
        <f>SUM(H6:S6)</f>
        <v>32667154.390000004</v>
      </c>
      <c r="U6" s="117">
        <f>G6*U2</f>
        <v>33263541.666666668</v>
      </c>
      <c r="V6" s="149">
        <f>T6-U6</f>
        <v>-596387.27666666359</v>
      </c>
    </row>
    <row r="7" spans="1:23" ht="15.75">
      <c r="A7" s="313" t="s">
        <v>74</v>
      </c>
      <c r="B7" s="314"/>
      <c r="C7" s="314"/>
      <c r="D7" s="314"/>
      <c r="E7" s="317"/>
      <c r="F7" s="380">
        <v>450000</v>
      </c>
      <c r="G7" s="382">
        <f>F7/12</f>
        <v>37500</v>
      </c>
      <c r="H7" s="113">
        <v>87650</v>
      </c>
      <c r="I7" s="113">
        <v>122500</v>
      </c>
      <c r="J7" s="113">
        <v>169800</v>
      </c>
      <c r="K7" s="112">
        <v>72950</v>
      </c>
      <c r="L7" s="201">
        <v>134250</v>
      </c>
      <c r="M7" s="175">
        <v>77650</v>
      </c>
      <c r="N7" s="113">
        <v>50869</v>
      </c>
      <c r="O7" s="113">
        <v>39800</v>
      </c>
      <c r="P7" s="113">
        <v>34350</v>
      </c>
      <c r="Q7" s="113">
        <v>95700</v>
      </c>
      <c r="R7" s="113">
        <v>47806</v>
      </c>
      <c r="S7" s="235"/>
      <c r="T7" s="116">
        <f>SUM(H7:S7)</f>
        <v>933325</v>
      </c>
      <c r="U7" s="389">
        <f>G7*U2</f>
        <v>412500</v>
      </c>
      <c r="V7" s="387">
        <f>T7-U7+T8</f>
        <v>559245.42999999993</v>
      </c>
    </row>
    <row r="8" spans="1:23" ht="15.75">
      <c r="A8" s="315" t="s">
        <v>94</v>
      </c>
      <c r="B8" s="316"/>
      <c r="C8" s="316"/>
      <c r="D8" s="316"/>
      <c r="E8" s="318"/>
      <c r="F8" s="381"/>
      <c r="G8" s="383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>
        <v>16185.21</v>
      </c>
      <c r="S8" s="256"/>
      <c r="T8" s="116">
        <f>SUM(H8:S8)</f>
        <v>38420.429999999993</v>
      </c>
      <c r="U8" s="390"/>
      <c r="V8" s="388"/>
    </row>
    <row r="9" spans="1:23" ht="16.5" thickBot="1">
      <c r="A9" s="107" t="s">
        <v>116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>
        <f>20000+18000</f>
        <v>38000</v>
      </c>
      <c r="O9" s="124">
        <v>18000</v>
      </c>
      <c r="P9" s="124">
        <f>40000+18000</f>
        <v>58000</v>
      </c>
      <c r="Q9" s="124">
        <f>20000+18000+16000+6000</f>
        <v>60000</v>
      </c>
      <c r="R9" s="124">
        <f>20000+18000+2000</f>
        <v>40000</v>
      </c>
      <c r="S9" s="125"/>
      <c r="T9" s="129">
        <f>SUM(H9:S9)</f>
        <v>547300</v>
      </c>
      <c r="U9" s="144">
        <f>G9*U2</f>
        <v>495000</v>
      </c>
      <c r="V9" s="152">
        <f>T9-U9</f>
        <v>52300</v>
      </c>
    </row>
    <row r="10" spans="1:23" ht="15.75">
      <c r="A10" s="353" t="s">
        <v>66</v>
      </c>
      <c r="B10" s="354"/>
      <c r="C10" s="354"/>
      <c r="D10" s="354"/>
      <c r="E10" s="355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3167959.16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3038396.44</v>
      </c>
      <c r="O10" s="101">
        <f t="shared" si="0"/>
        <v>2880788.16</v>
      </c>
      <c r="P10" s="101">
        <f t="shared" si="0"/>
        <v>3326428.67</v>
      </c>
      <c r="Q10" s="101">
        <f t="shared" si="0"/>
        <v>3512338</v>
      </c>
      <c r="R10" s="101">
        <f t="shared" si="0"/>
        <v>2988340.76</v>
      </c>
      <c r="S10" s="101">
        <f t="shared" si="0"/>
        <v>0</v>
      </c>
      <c r="T10" s="132">
        <f>SUM(H10:S10)</f>
        <v>34186199.82</v>
      </c>
      <c r="U10" s="117">
        <f>SUM(U6:U9)</f>
        <v>34171041.666666672</v>
      </c>
      <c r="V10" s="153">
        <f>T10-U10</f>
        <v>15158.153333328664</v>
      </c>
      <c r="W10" s="257"/>
    </row>
    <row r="11" spans="1:23" ht="33" customHeight="1">
      <c r="A11" s="356" t="s">
        <v>64</v>
      </c>
      <c r="B11" s="357"/>
      <c r="C11" s="357"/>
      <c r="D11" s="357"/>
      <c r="E11" s="357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расходы'!B81</f>
        <v>56778.21</v>
      </c>
      <c r="I12" s="136">
        <f ca="1">'общехоз расходы'!C81</f>
        <v>49870.3</v>
      </c>
      <c r="J12" s="136">
        <f ca="1">'общехоз расходы'!D81</f>
        <v>35441.550000000003</v>
      </c>
      <c r="K12" s="136">
        <f ca="1">'общехоз расходы'!E81</f>
        <v>45274.54</v>
      </c>
      <c r="L12" s="136">
        <f ca="1">'общехоз расходы'!F81</f>
        <v>101937.84</v>
      </c>
      <c r="M12" s="136">
        <f ca="1">'общехоз расходы'!G81</f>
        <v>47317.020000000004</v>
      </c>
      <c r="N12" s="136">
        <f ca="1">'общехоз расходы'!H81</f>
        <v>171414.22</v>
      </c>
      <c r="O12" s="136">
        <f ca="1">'общехоз расходы'!I81</f>
        <v>57974.18</v>
      </c>
      <c r="P12" s="136">
        <f ca="1">'общехоз расходы'!J81</f>
        <v>31304.959999999999</v>
      </c>
      <c r="Q12" s="136">
        <f ca="1">'общехоз расходы'!K81</f>
        <v>85468.67</v>
      </c>
      <c r="R12" s="136">
        <f ca="1">'общехоз расходы'!L81</f>
        <v>49675.400000000009</v>
      </c>
      <c r="S12" s="136">
        <f ca="1">'общехоз расходы'!M81</f>
        <v>0</v>
      </c>
      <c r="T12" s="116">
        <f>SUM(H12:S12)</f>
        <v>732456.89000000013</v>
      </c>
      <c r="U12" s="117">
        <f t="shared" ref="U12:U26" si="1">G12*$U$2</f>
        <v>641666.66666666674</v>
      </c>
      <c r="V12" s="147">
        <f>U12-T12</f>
        <v>-90790.223333333386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1190</v>
      </c>
      <c r="O13" s="136">
        <f ca="1">'программ обеспечение'!I10</f>
        <v>0</v>
      </c>
      <c r="P13" s="136">
        <f ca="1">'программ обеспечение'!J10</f>
        <v>4908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35962</v>
      </c>
      <c r="U13" s="117">
        <f t="shared" si="1"/>
        <v>27500</v>
      </c>
      <c r="V13" s="147">
        <f t="shared" ref="V13:V25" si="4">U13-T13</f>
        <v>-8462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8000</v>
      </c>
      <c r="O14" s="136">
        <f ca="1">'услуги связи'!I7</f>
        <v>11000</v>
      </c>
      <c r="P14" s="136">
        <f ca="1">'услуги связи'!J7</f>
        <v>23000</v>
      </c>
      <c r="Q14" s="136">
        <f ca="1">'услуги связи'!K7</f>
        <v>13000</v>
      </c>
      <c r="R14" s="136">
        <f ca="1">'услуги связи'!L7</f>
        <v>22000</v>
      </c>
      <c r="S14" s="136">
        <f ca="1">'услуги связи'!M7</f>
        <v>0</v>
      </c>
      <c r="T14" s="116">
        <f t="shared" si="3"/>
        <v>142645.70000000001</v>
      </c>
      <c r="U14" s="117">
        <f t="shared" si="1"/>
        <v>91666.666666666672</v>
      </c>
      <c r="V14" s="147">
        <f t="shared" si="4"/>
        <v>-50979.03333333334</v>
      </c>
    </row>
    <row r="15" spans="1:23" ht="15.75">
      <c r="A15" s="63" t="s">
        <v>114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741917.82000000007</v>
      </c>
      <c r="O15" s="136">
        <f ca="1">'з пл'!I6</f>
        <v>299234.04000000004</v>
      </c>
      <c r="P15" s="136">
        <f ca="1">'з пл'!J6</f>
        <v>239316.2</v>
      </c>
      <c r="Q15" s="136">
        <f ca="1">'з пл'!K6</f>
        <v>586526.53</v>
      </c>
      <c r="R15" s="136">
        <f ca="1">'з пл'!L6</f>
        <v>778298.67</v>
      </c>
      <c r="S15" s="136">
        <f ca="1">'з пл'!M6</f>
        <v>0</v>
      </c>
      <c r="T15" s="116">
        <f>SUM(H15:S15)</f>
        <v>6175695.2100000009</v>
      </c>
      <c r="U15" s="117">
        <f t="shared" si="1"/>
        <v>7150000</v>
      </c>
      <c r="V15" s="147">
        <f t="shared" si="4"/>
        <v>974304.78999999911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143463.6</v>
      </c>
      <c r="O16" s="137">
        <f ca="1">'премиальный фонд'!I5</f>
        <v>0</v>
      </c>
      <c r="P16" s="137">
        <f ca="1">'премиальный фонд'!J5</f>
        <v>143750</v>
      </c>
      <c r="Q16" s="137">
        <f ca="1">'премиальный фонд'!K5</f>
        <v>44947.369999999995</v>
      </c>
      <c r="R16" s="136">
        <f ca="1">'премиальный фонд'!L5</f>
        <v>37448.86</v>
      </c>
      <c r="S16" s="136">
        <f ca="1">'премиальный фонд'!M5</f>
        <v>0</v>
      </c>
      <c r="T16" s="116">
        <f t="shared" si="3"/>
        <v>494100.36</v>
      </c>
      <c r="U16" s="117">
        <f t="shared" si="1"/>
        <v>504166.66666666669</v>
      </c>
      <c r="V16" s="147">
        <f t="shared" si="4"/>
        <v>10066.3066666667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350253.77</v>
      </c>
      <c r="O17" s="137">
        <f ca="1">'налог с ФОТ'!I6</f>
        <v>0</v>
      </c>
      <c r="P17" s="137">
        <f ca="1">'налог с ФОТ'!J6</f>
        <v>194627.06999999998</v>
      </c>
      <c r="Q17" s="137">
        <f ca="1">'налог с ФОТ'!K6</f>
        <v>172592.91999999998</v>
      </c>
      <c r="R17" s="136">
        <f ca="1">'налог с ФОТ'!L6</f>
        <v>189033.93000000002</v>
      </c>
      <c r="S17" s="136">
        <f ca="1">'налог с ФОТ'!M6</f>
        <v>0</v>
      </c>
      <c r="T17" s="116">
        <f t="shared" si="3"/>
        <v>1954358.63</v>
      </c>
      <c r="U17" s="117">
        <f t="shared" si="1"/>
        <v>2291666.666666667</v>
      </c>
      <c r="V17" s="147">
        <f t="shared" si="4"/>
        <v>337308.03666666709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1000</v>
      </c>
      <c r="N18" s="137">
        <f ca="1">'приобрт инвентаря и оборуд'!H24</f>
        <v>14690</v>
      </c>
      <c r="O18" s="137">
        <f ca="1">'приобрт инвентаря и оборуд'!I24</f>
        <v>660</v>
      </c>
      <c r="P18" s="137">
        <f ca="1">'приобрт инвентаря и оборуд'!J24</f>
        <v>290</v>
      </c>
      <c r="Q18" s="137">
        <f ca="1">'приобрт инвентаря и оборуд'!K24</f>
        <v>7460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79948</v>
      </c>
      <c r="U18" s="117">
        <f t="shared" si="1"/>
        <v>137500</v>
      </c>
      <c r="V18" s="147">
        <f t="shared" si="4"/>
        <v>57552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426915</v>
      </c>
      <c r="O19" s="136">
        <f ca="1">'вывоз мусора'!I10</f>
        <v>335000</v>
      </c>
      <c r="P19" s="136">
        <f ca="1">'вывоз мусора'!J10</f>
        <v>349000</v>
      </c>
      <c r="Q19" s="136">
        <f ca="1">'вывоз мусора'!K10</f>
        <v>295000</v>
      </c>
      <c r="R19" s="136">
        <f ca="1">'вывоз мусора'!L10</f>
        <v>244000</v>
      </c>
      <c r="S19" s="136">
        <f ca="1">'вывоз мусора'!M10</f>
        <v>0</v>
      </c>
      <c r="T19" s="116">
        <f t="shared" si="3"/>
        <v>4993615</v>
      </c>
      <c r="U19" s="117">
        <f t="shared" si="1"/>
        <v>4491666.666666666</v>
      </c>
      <c r="V19" s="147">
        <f t="shared" si="4"/>
        <v>-501948.33333333395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520000</v>
      </c>
      <c r="O20" s="136">
        <f ca="1">'сод охраны'!I7</f>
        <v>520000</v>
      </c>
      <c r="P20" s="136">
        <f ca="1">'сод охраны'!J7</f>
        <v>550000</v>
      </c>
      <c r="Q20" s="136">
        <f ca="1">'сод охраны'!K7</f>
        <v>550000</v>
      </c>
      <c r="R20" s="136">
        <f ca="1">'сод охраны'!L7</f>
        <v>1100000</v>
      </c>
      <c r="S20" s="136">
        <f ca="1">'сод охраны'!M7</f>
        <v>0</v>
      </c>
      <c r="T20" s="116">
        <f t="shared" si="3"/>
        <v>6345607</v>
      </c>
      <c r="U20" s="117">
        <f t="shared" si="1"/>
        <v>5692500</v>
      </c>
      <c r="V20" s="147">
        <f t="shared" si="4"/>
        <v>-653107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20698</v>
      </c>
      <c r="O21" s="137">
        <f ca="1">'содерж газ оборуд'!I6</f>
        <v>20698</v>
      </c>
      <c r="P21" s="137">
        <f ca="1">'содерж газ оборуд'!J6</f>
        <v>20698</v>
      </c>
      <c r="Q21" s="137">
        <f ca="1">'содерж газ оборуд'!K6</f>
        <v>41396</v>
      </c>
      <c r="R21" s="137">
        <f ca="1">'содерж газ оборуд'!L6</f>
        <v>72004.03</v>
      </c>
      <c r="S21" s="137">
        <f ca="1">'содерж газ оборуд'!M6</f>
        <v>0</v>
      </c>
      <c r="T21" s="116">
        <f t="shared" si="3"/>
        <v>299680.70999999996</v>
      </c>
      <c r="U21" s="117">
        <f t="shared" si="1"/>
        <v>229166.66666666666</v>
      </c>
      <c r="V21" s="147">
        <f t="shared" si="4"/>
        <v>-70514.043333333306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7432</v>
      </c>
      <c r="O22" s="136">
        <f ca="1">'сод сетей водоснабжения'!I31</f>
        <v>26865</v>
      </c>
      <c r="P22" s="136">
        <f ca="1">'сод сетей водоснабжения'!J31</f>
        <v>640</v>
      </c>
      <c r="Q22" s="136">
        <f ca="1">'сод сетей водоснабжения'!K31</f>
        <v>5221.2</v>
      </c>
      <c r="R22" s="136">
        <f ca="1">'сод сетей водоснабжения'!L31</f>
        <v>42024</v>
      </c>
      <c r="S22" s="136">
        <f ca="1">'сод сетей водоснабжения'!M31</f>
        <v>0</v>
      </c>
      <c r="T22" s="116">
        <f t="shared" si="3"/>
        <v>177736.9</v>
      </c>
      <c r="U22" s="117">
        <f t="shared" si="1"/>
        <v>275000</v>
      </c>
      <c r="V22" s="147">
        <f t="shared" si="4"/>
        <v>97263.1</v>
      </c>
    </row>
    <row r="23" spans="1:26" ht="15.75">
      <c r="A23" s="59" t="s">
        <v>112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8990.2000000000007</v>
      </c>
      <c r="O23" s="136">
        <f ca="1">канализация!I24</f>
        <v>19585</v>
      </c>
      <c r="P23" s="136">
        <f ca="1">канализация!J24</f>
        <v>45991</v>
      </c>
      <c r="Q23" s="136">
        <f ca="1">канализация!K24</f>
        <v>16300</v>
      </c>
      <c r="R23" s="136">
        <f ca="1">канализация!L24</f>
        <v>32600</v>
      </c>
      <c r="S23" s="136">
        <f ca="1">канализация!M24</f>
        <v>0</v>
      </c>
      <c r="T23" s="116">
        <f>SUM(H23:S23)</f>
        <v>449027.35000000003</v>
      </c>
      <c r="U23" s="117">
        <f t="shared" si="1"/>
        <v>320833.33333333337</v>
      </c>
      <c r="V23" s="147">
        <f>U23-T23</f>
        <v>-128194.01666666666</v>
      </c>
    </row>
    <row r="24" spans="1:26" ht="15.75">
      <c r="A24" s="59" t="s">
        <v>113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электроснабжение!B46</f>
        <v>90104.69</v>
      </c>
      <c r="I24" s="136">
        <f ca="1">электроснабжение!C46</f>
        <v>76105.11</v>
      </c>
      <c r="J24" s="136">
        <f ca="1">электроснабжение!D46</f>
        <v>134348.87</v>
      </c>
      <c r="K24" s="136">
        <f ca="1">электроснабжение!E46</f>
        <v>192716.59000000003</v>
      </c>
      <c r="L24" s="136">
        <f ca="1">электроснабжение!F46</f>
        <v>123074.22</v>
      </c>
      <c r="M24" s="136">
        <f ca="1">электроснабжение!G46</f>
        <v>194408.68000000002</v>
      </c>
      <c r="N24" s="136">
        <f ca="1">электроснабжение!H46</f>
        <v>191906.91999999998</v>
      </c>
      <c r="O24" s="136">
        <f ca="1">электроснабжение!I46</f>
        <v>237238.96</v>
      </c>
      <c r="P24" s="136">
        <f ca="1">электроснабжение!J46</f>
        <v>254553.04000000004</v>
      </c>
      <c r="Q24" s="136">
        <f ca="1">электроснабжение!K46</f>
        <v>235617.3</v>
      </c>
      <c r="R24" s="136">
        <f ca="1">электроснабжение!L46</f>
        <v>168841.56</v>
      </c>
      <c r="S24" s="136">
        <f ca="1">электроснабжение!M46</f>
        <v>0</v>
      </c>
      <c r="T24" s="116">
        <f t="shared" si="3"/>
        <v>1898915.9400000002</v>
      </c>
      <c r="U24" s="117">
        <f t="shared" si="1"/>
        <v>1558333.3333333333</v>
      </c>
      <c r="V24" s="147">
        <f t="shared" si="4"/>
        <v>-340582.60666666692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дорог'!B40</f>
        <v>41127.49</v>
      </c>
      <c r="I25" s="136">
        <f ca="1">'содерж дорог'!C40</f>
        <v>3920</v>
      </c>
      <c r="J25" s="136">
        <f ca="1">'содерж дорог'!D40</f>
        <v>35714.97</v>
      </c>
      <c r="K25" s="136">
        <f ca="1">'содерж дорог'!E40</f>
        <v>0</v>
      </c>
      <c r="L25" s="136">
        <f ca="1">'содерж дорог'!F40</f>
        <v>6377.29</v>
      </c>
      <c r="M25" s="136">
        <f ca="1">'содерж дорог'!G40</f>
        <v>61050</v>
      </c>
      <c r="N25" s="136">
        <f ca="1">'содерж дорог'!H40</f>
        <v>23745.200000000001</v>
      </c>
      <c r="O25" s="136">
        <f ca="1">'содерж дорог'!I40</f>
        <v>23836.2</v>
      </c>
      <c r="P25" s="136">
        <f ca="1">'содерж дорог'!J40</f>
        <v>61991.67</v>
      </c>
      <c r="Q25" s="136">
        <f ca="1">'содерж дорог'!K40</f>
        <v>31962.2</v>
      </c>
      <c r="R25" s="136">
        <f ca="1">'содерж дорог'!L40</f>
        <v>14985</v>
      </c>
      <c r="S25" s="136">
        <f ca="1">'содерж дорог'!M40</f>
        <v>0</v>
      </c>
      <c r="T25" s="116">
        <f t="shared" si="3"/>
        <v>304710.02</v>
      </c>
      <c r="U25" s="117">
        <f t="shared" si="1"/>
        <v>229166.66666666666</v>
      </c>
      <c r="V25" s="147">
        <f t="shared" si="4"/>
        <v>-75543.353333333362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благоустройство!B62</f>
        <v>13480.2</v>
      </c>
      <c r="I26" s="136">
        <f ca="1">благоустройство!C62</f>
        <v>37009</v>
      </c>
      <c r="J26" s="136">
        <f ca="1">благоустройство!D62</f>
        <v>41317.699999999997</v>
      </c>
      <c r="K26" s="136">
        <f ca="1">благоустройство!E62</f>
        <v>71655.73</v>
      </c>
      <c r="L26" s="136">
        <f ca="1">благоустройство!F62</f>
        <v>13223.11</v>
      </c>
      <c r="M26" s="136">
        <f ca="1">благоустройство!G62</f>
        <v>52521.38</v>
      </c>
      <c r="N26" s="136">
        <f ca="1">благоустройство!H62</f>
        <v>57325.799999999996</v>
      </c>
      <c r="O26" s="136">
        <f ca="1">благоустройство!I62</f>
        <v>39538.9</v>
      </c>
      <c r="P26" s="136">
        <f ca="1">благоустройство!J62</f>
        <v>4375.2</v>
      </c>
      <c r="Q26" s="136">
        <f ca="1">благоустройство!K62</f>
        <v>15630.8</v>
      </c>
      <c r="R26" s="136">
        <f ca="1">благоустройство!L62</f>
        <v>1641</v>
      </c>
      <c r="S26" s="136">
        <f ca="1">благоустройство!M62</f>
        <v>0</v>
      </c>
      <c r="T26" s="116">
        <f>SUM(H26:S26)</f>
        <v>347718.82</v>
      </c>
      <c r="U26" s="117">
        <f t="shared" si="1"/>
        <v>275000</v>
      </c>
      <c r="V26" s="147">
        <f t="shared" ref="V26:V31" si="5">U26-T26</f>
        <v>-72718.820000000007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фонд'!B65</f>
        <v>161412.76</v>
      </c>
      <c r="I27" s="136">
        <f ca="1">'резервный фонд'!C65</f>
        <v>20000</v>
      </c>
      <c r="J27" s="136">
        <f ca="1">'резервный фонд'!D65</f>
        <v>200948.2</v>
      </c>
      <c r="K27" s="136">
        <f ca="1">'резервный фонд'!E65</f>
        <v>418529</v>
      </c>
      <c r="L27" s="136">
        <f ca="1">'резервный фонд'!F65</f>
        <v>158643</v>
      </c>
      <c r="M27" s="136">
        <f ca="1">'резервный фонд'!G65</f>
        <v>43850</v>
      </c>
      <c r="N27" s="136">
        <f ca="1">'резервный фонд'!H65</f>
        <v>80099</v>
      </c>
      <c r="O27" s="136">
        <f ca="1">'резервный фонд'!I65</f>
        <v>454928</v>
      </c>
      <c r="P27" s="136">
        <f ca="1">'резервный фонд'!J65</f>
        <v>28720</v>
      </c>
      <c r="Q27" s="136">
        <f ca="1">'резервный фонд'!K65</f>
        <v>286433.02</v>
      </c>
      <c r="R27" s="136">
        <f ca="1">'резервный фонд'!L65</f>
        <v>5655.0600000000013</v>
      </c>
      <c r="S27" s="136">
        <f ca="1">'резервный фонд'!M65</f>
        <v>0</v>
      </c>
      <c r="T27" s="116">
        <f>SUM(H27:S27)</f>
        <v>1859218.04</v>
      </c>
      <c r="U27" s="116">
        <f>G27*U2</f>
        <v>1271875</v>
      </c>
      <c r="V27" s="147">
        <f t="shared" si="5"/>
        <v>-587343.04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29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128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29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29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121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29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500000</v>
      </c>
      <c r="N32" s="137">
        <f ca="1">'Ремонт водопров.'!H17</f>
        <v>406548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7072272.4199999999</v>
      </c>
      <c r="U32" s="203">
        <f t="shared" si="6"/>
        <v>6000000</v>
      </c>
      <c r="V32" s="309">
        <f t="shared" ref="V32:V37" si="8">F32-T32</f>
        <v>-1072272.42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185000</v>
      </c>
      <c r="O33" s="136">
        <f ca="1">Лиц.скважин!I18</f>
        <v>0</v>
      </c>
      <c r="P33" s="136">
        <f ca="1">Лиц.скважин!J18</f>
        <v>255000</v>
      </c>
      <c r="Q33" s="136">
        <f ca="1">Лиц.скважин!K18</f>
        <v>10000</v>
      </c>
      <c r="R33" s="136">
        <f ca="1">Лиц.скважин!L18</f>
        <v>10000</v>
      </c>
      <c r="S33" s="136">
        <f ca="1">Лиц.скважин!M18</f>
        <v>0</v>
      </c>
      <c r="T33" s="116">
        <f t="shared" si="7"/>
        <v>545000</v>
      </c>
      <c r="U33" s="203">
        <f t="shared" si="6"/>
        <v>1200000</v>
      </c>
      <c r="V33" s="147">
        <f t="shared" si="8"/>
        <v>655000</v>
      </c>
    </row>
    <row r="34" spans="1:23" ht="15.75">
      <c r="A34" s="59" t="s">
        <v>122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6000</v>
      </c>
      <c r="S35" s="136">
        <f ca="1">'Оформление земли'!M17</f>
        <v>0</v>
      </c>
      <c r="T35" s="116">
        <f t="shared" si="7"/>
        <v>56000</v>
      </c>
      <c r="U35" s="203">
        <f>F35</f>
        <v>100000</v>
      </c>
      <c r="V35" s="147">
        <f t="shared" si="8"/>
        <v>44000</v>
      </c>
    </row>
    <row r="36" spans="1:23" ht="15.75">
      <c r="A36" s="59" t="s">
        <v>119</v>
      </c>
      <c r="B36" s="46"/>
      <c r="C36" s="46"/>
      <c r="D36" s="46"/>
      <c r="E36" s="46"/>
      <c r="F36" s="110">
        <v>1440000</v>
      </c>
      <c r="G36" s="111" t="s">
        <v>103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>
        <v>1435667.9</v>
      </c>
      <c r="S36" s="136"/>
      <c r="T36" s="116">
        <f t="shared" si="7"/>
        <v>1435667.9</v>
      </c>
      <c r="U36" s="203">
        <f>F36</f>
        <v>1440000</v>
      </c>
      <c r="V36" s="147">
        <f t="shared" si="8"/>
        <v>4332.1000000000931</v>
      </c>
    </row>
    <row r="37" spans="1:23" ht="16.5" thickBot="1">
      <c r="A37" s="87" t="s">
        <v>120</v>
      </c>
      <c r="B37" s="85"/>
      <c r="C37" s="85"/>
      <c r="D37" s="85"/>
      <c r="E37" s="85"/>
      <c r="F37" s="138">
        <v>200000</v>
      </c>
      <c r="G37" s="139" t="s">
        <v>103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29">
        <f t="shared" si="7"/>
        <v>0</v>
      </c>
      <c r="U37" s="328">
        <f>F37</f>
        <v>200000</v>
      </c>
      <c r="V37" s="148">
        <f t="shared" si="8"/>
        <v>200000</v>
      </c>
    </row>
    <row r="38" spans="1:23" ht="15.75">
      <c r="A38" s="384" t="s">
        <v>67</v>
      </c>
      <c r="B38" s="385"/>
      <c r="C38" s="385"/>
      <c r="D38" s="385"/>
      <c r="E38" s="386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3197984.02</v>
      </c>
      <c r="N38" s="154">
        <f t="shared" ref="N38:S38" si="10">SUM(N12:N31)</f>
        <v>2768041.5300000003</v>
      </c>
      <c r="O38" s="154">
        <f t="shared" si="10"/>
        <v>2046558.2799999998</v>
      </c>
      <c r="P38" s="154">
        <f t="shared" si="10"/>
        <v>1953165.14</v>
      </c>
      <c r="Q38" s="154">
        <f t="shared" si="10"/>
        <v>2387556.0099999998</v>
      </c>
      <c r="R38" s="154">
        <f t="shared" si="10"/>
        <v>2758207.5100000002</v>
      </c>
      <c r="S38" s="154">
        <f t="shared" si="10"/>
        <v>0</v>
      </c>
      <c r="T38" s="132">
        <f>SUM(T12:T37)</f>
        <v>37265356.890000001</v>
      </c>
      <c r="U38" s="132">
        <f>SUM(U12:U37)</f>
        <v>37387708.333333336</v>
      </c>
      <c r="V38" s="132">
        <f>SUM(V12:V37)</f>
        <v>122351.44333333196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3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3" customFormat="1">
      <c r="A42" s="263"/>
      <c r="B42" s="263"/>
      <c r="C42" s="263"/>
      <c r="D42" s="263"/>
      <c r="E42" s="263"/>
      <c r="F42" s="285"/>
      <c r="G42" s="285"/>
      <c r="H42" s="285"/>
      <c r="I42" s="285"/>
      <c r="J42" s="285"/>
      <c r="K42" s="263"/>
      <c r="L42" s="263"/>
      <c r="M42" s="263"/>
      <c r="N42" s="263"/>
      <c r="O42" s="263"/>
      <c r="P42" s="263"/>
      <c r="Q42" s="263"/>
      <c r="R42" s="263"/>
      <c r="S42" s="263"/>
      <c r="T42" s="285"/>
      <c r="U42" s="285"/>
      <c r="V42" s="285"/>
      <c r="W42" s="263"/>
    </row>
    <row r="43" spans="1:23" s="290" customFormat="1">
      <c r="A43" s="270"/>
      <c r="B43" s="270"/>
      <c r="C43" s="270"/>
      <c r="D43" s="270"/>
      <c r="E43" s="270"/>
      <c r="F43" s="262"/>
      <c r="G43" s="26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1"/>
      <c r="V43" s="291"/>
    </row>
    <row r="44" spans="1:23" s="290" customFormat="1">
      <c r="A44" s="270"/>
      <c r="B44" s="270"/>
      <c r="C44" s="270"/>
      <c r="D44" s="270"/>
      <c r="E44" s="270"/>
      <c r="F44" s="262"/>
      <c r="G44" s="262"/>
      <c r="H44" s="292"/>
      <c r="I44" s="293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62"/>
      <c r="U44" s="291"/>
      <c r="V44" s="291"/>
    </row>
    <row r="45" spans="1:23" s="283" customFormat="1">
      <c r="A45" s="263"/>
      <c r="B45" s="263"/>
      <c r="C45" s="263"/>
      <c r="D45" s="263"/>
      <c r="E45" s="263"/>
      <c r="F45" s="285"/>
      <c r="G45" s="285"/>
      <c r="H45" s="285"/>
      <c r="I45" s="285"/>
      <c r="J45" s="285"/>
      <c r="K45" s="263"/>
      <c r="L45" s="263"/>
      <c r="M45" s="263"/>
      <c r="N45" s="263"/>
      <c r="O45" s="263"/>
      <c r="P45" s="263"/>
      <c r="Q45" s="263"/>
      <c r="R45" s="263"/>
      <c r="S45" s="263"/>
      <c r="T45" s="285"/>
      <c r="U45" s="285"/>
      <c r="V45" s="285"/>
      <c r="W45" s="263"/>
    </row>
    <row r="46" spans="1:23" s="283" customFormat="1">
      <c r="A46" s="270"/>
      <c r="B46" s="270"/>
      <c r="C46" s="270"/>
      <c r="D46" s="270"/>
      <c r="E46" s="270"/>
      <c r="F46" s="262"/>
      <c r="G46" s="262"/>
      <c r="H46" s="284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5"/>
      <c r="V46" s="285"/>
      <c r="W46" s="263"/>
    </row>
    <row r="47" spans="1:23" s="283" customFormat="1">
      <c r="A47" s="270"/>
      <c r="B47" s="263"/>
      <c r="C47" s="263"/>
      <c r="D47" s="263"/>
      <c r="E47" s="263"/>
      <c r="F47" s="285"/>
      <c r="G47" s="285"/>
      <c r="H47" s="262"/>
      <c r="I47" s="262"/>
      <c r="J47" s="285"/>
      <c r="K47" s="263"/>
      <c r="L47" s="263"/>
      <c r="M47" s="263"/>
      <c r="N47" s="263"/>
      <c r="O47" s="263"/>
      <c r="P47" s="263"/>
      <c r="Q47" s="263"/>
      <c r="R47" s="263"/>
      <c r="S47" s="263"/>
      <c r="T47" s="285"/>
      <c r="U47" s="285"/>
      <c r="V47" s="285"/>
      <c r="W47" s="263"/>
    </row>
    <row r="48" spans="1:23" s="283" customFormat="1">
      <c r="A48" s="263"/>
      <c r="B48" s="263"/>
      <c r="C48" s="263"/>
      <c r="D48" s="263"/>
      <c r="E48" s="263"/>
      <c r="F48" s="285"/>
      <c r="G48" s="285"/>
      <c r="H48" s="262"/>
      <c r="I48" s="285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5"/>
      <c r="U48" s="285"/>
      <c r="V48" s="285"/>
      <c r="W48" s="263"/>
    </row>
    <row r="49" spans="1:23" s="283" customFormat="1">
      <c r="A49" s="263"/>
      <c r="B49" s="263"/>
      <c r="C49" s="263"/>
      <c r="D49" s="263"/>
      <c r="E49" s="263"/>
      <c r="F49" s="285"/>
      <c r="G49" s="285"/>
      <c r="H49" s="262"/>
      <c r="I49" s="262"/>
      <c r="J49" s="285"/>
      <c r="K49" s="263"/>
      <c r="L49" s="263"/>
      <c r="M49" s="263"/>
      <c r="N49" s="263"/>
      <c r="O49" s="263"/>
      <c r="P49" s="263"/>
      <c r="Q49" s="263"/>
      <c r="R49" s="263"/>
      <c r="S49" s="263"/>
      <c r="T49" s="285"/>
      <c r="U49" s="285"/>
      <c r="V49" s="285"/>
      <c r="W49" s="263"/>
    </row>
    <row r="50" spans="1:23" s="283" customFormat="1">
      <c r="A50" s="263"/>
      <c r="B50" s="263"/>
      <c r="C50" s="263"/>
      <c r="D50" s="263"/>
      <c r="E50" s="263"/>
      <c r="F50" s="285"/>
      <c r="G50" s="285"/>
      <c r="H50" s="262"/>
      <c r="I50" s="262"/>
      <c r="J50" s="285"/>
      <c r="K50" s="263"/>
      <c r="L50" s="263"/>
      <c r="M50" s="263"/>
      <c r="N50" s="263"/>
      <c r="O50" s="263"/>
      <c r="P50" s="263"/>
      <c r="Q50" s="263"/>
      <c r="R50" s="263"/>
      <c r="S50" s="263"/>
      <c r="T50" s="285"/>
      <c r="U50" s="285"/>
      <c r="V50" s="285"/>
      <c r="W50" s="263"/>
    </row>
    <row r="51" spans="1:23" s="283" customFormat="1">
      <c r="A51" s="263"/>
      <c r="B51" s="263"/>
      <c r="C51" s="263"/>
      <c r="D51" s="263"/>
      <c r="E51" s="263"/>
      <c r="F51" s="285"/>
      <c r="G51" s="285"/>
      <c r="H51" s="262"/>
      <c r="I51" s="262"/>
      <c r="J51" s="285"/>
      <c r="K51" s="263"/>
      <c r="L51" s="263"/>
      <c r="M51" s="263"/>
      <c r="N51" s="263"/>
      <c r="O51" s="263"/>
      <c r="P51" s="263"/>
      <c r="Q51" s="263"/>
      <c r="R51" s="263"/>
      <c r="S51" s="286"/>
      <c r="T51" s="287"/>
      <c r="U51" s="285"/>
      <c r="V51" s="285"/>
      <c r="W51" s="263"/>
    </row>
    <row r="52" spans="1:23" s="283" customFormat="1">
      <c r="A52" s="263"/>
      <c r="B52" s="263"/>
      <c r="C52" s="263"/>
      <c r="D52" s="263"/>
      <c r="E52" s="263"/>
      <c r="F52" s="285"/>
      <c r="G52" s="285"/>
      <c r="H52" s="262"/>
      <c r="I52" s="285"/>
      <c r="J52" s="285"/>
      <c r="K52" s="263"/>
      <c r="L52" s="263"/>
      <c r="M52" s="263"/>
      <c r="N52" s="263"/>
      <c r="O52" s="263"/>
      <c r="P52" s="263"/>
      <c r="Q52" s="263"/>
      <c r="R52" s="263"/>
      <c r="S52" s="286"/>
      <c r="T52" s="288"/>
      <c r="U52" s="285"/>
      <c r="V52" s="285"/>
      <c r="W52" s="263"/>
    </row>
    <row r="53" spans="1:23" s="283" customFormat="1">
      <c r="A53" s="263"/>
      <c r="B53" s="263"/>
      <c r="C53" s="263"/>
      <c r="D53" s="263"/>
      <c r="E53" s="263"/>
      <c r="F53" s="285"/>
      <c r="G53" s="285"/>
      <c r="H53" s="285"/>
      <c r="I53" s="285"/>
      <c r="J53" s="285"/>
      <c r="K53" s="263"/>
      <c r="L53" s="263"/>
      <c r="M53" s="263"/>
      <c r="N53" s="263"/>
      <c r="O53" s="263"/>
      <c r="P53" s="263"/>
      <c r="Q53" s="263"/>
      <c r="R53" s="263"/>
      <c r="S53" s="286"/>
      <c r="T53" s="287"/>
      <c r="U53" s="285"/>
      <c r="V53" s="285"/>
      <c r="W53" s="263"/>
    </row>
    <row r="54" spans="1:23" s="283" customFormat="1">
      <c r="A54" s="263"/>
      <c r="B54" s="263"/>
      <c r="C54" s="263"/>
      <c r="D54" s="263"/>
      <c r="E54" s="263"/>
      <c r="F54" s="285"/>
      <c r="G54" s="285"/>
      <c r="H54" s="285"/>
      <c r="I54" s="285"/>
      <c r="J54" s="285"/>
      <c r="K54" s="263"/>
      <c r="L54" s="263"/>
      <c r="M54" s="263"/>
      <c r="N54" s="263"/>
      <c r="O54" s="263"/>
      <c r="P54" s="263"/>
      <c r="Q54" s="263"/>
      <c r="R54" s="263"/>
      <c r="S54" s="263"/>
      <c r="T54" s="285"/>
      <c r="U54" s="285"/>
      <c r="V54" s="285"/>
      <c r="W54" s="263"/>
    </row>
    <row r="55" spans="1:23" s="283" customFormat="1">
      <c r="A55" s="263"/>
      <c r="B55" s="263"/>
      <c r="C55" s="263"/>
      <c r="D55" s="263"/>
      <c r="E55" s="263"/>
      <c r="F55" s="285"/>
      <c r="G55" s="285"/>
      <c r="H55" s="285"/>
      <c r="I55" s="285"/>
      <c r="J55" s="285"/>
      <c r="K55" s="263"/>
      <c r="L55" s="263"/>
      <c r="M55" s="263"/>
      <c r="N55" s="263"/>
      <c r="O55" s="263"/>
      <c r="P55" s="263"/>
      <c r="Q55" s="263"/>
      <c r="R55" s="263"/>
      <c r="S55" s="263"/>
      <c r="T55" s="285"/>
      <c r="U55" s="285"/>
      <c r="V55" s="285"/>
      <c r="W55" s="263"/>
    </row>
    <row r="56" spans="1:23" s="283" customFormat="1">
      <c r="A56" s="263"/>
      <c r="B56" s="263"/>
      <c r="C56" s="263"/>
      <c r="D56" s="263"/>
      <c r="E56" s="263"/>
      <c r="F56" s="285"/>
      <c r="G56" s="285"/>
      <c r="H56" s="285"/>
      <c r="I56" s="285"/>
      <c r="J56" s="285"/>
      <c r="K56" s="263"/>
      <c r="L56" s="263"/>
      <c r="M56" s="263"/>
      <c r="N56" s="263"/>
      <c r="O56" s="263"/>
      <c r="P56" s="263"/>
      <c r="Q56" s="263"/>
      <c r="R56" s="263"/>
      <c r="S56" s="263"/>
      <c r="T56" s="285"/>
      <c r="U56" s="285"/>
      <c r="V56" s="285"/>
      <c r="W56" s="263"/>
    </row>
    <row r="57" spans="1:23" s="283" customFormat="1">
      <c r="A57" s="263"/>
      <c r="B57" s="263"/>
      <c r="C57" s="263"/>
      <c r="D57" s="263"/>
      <c r="E57" s="263"/>
      <c r="F57" s="285"/>
      <c r="G57" s="285"/>
      <c r="H57" s="285"/>
      <c r="I57" s="285"/>
      <c r="J57" s="285"/>
      <c r="K57" s="263"/>
      <c r="L57" s="263"/>
      <c r="M57" s="263"/>
      <c r="N57" s="263"/>
      <c r="O57" s="263"/>
      <c r="P57" s="263"/>
      <c r="Q57" s="263"/>
      <c r="R57" s="263"/>
      <c r="S57" s="263"/>
      <c r="T57" s="285"/>
      <c r="U57" s="285"/>
      <c r="V57" s="285"/>
      <c r="W57" s="263"/>
    </row>
    <row r="58" spans="1:23" s="283" customFormat="1">
      <c r="A58" s="263"/>
      <c r="B58" s="263"/>
      <c r="C58" s="263"/>
      <c r="D58" s="263"/>
      <c r="E58" s="263"/>
      <c r="F58" s="285"/>
      <c r="G58" s="285"/>
      <c r="H58" s="285"/>
      <c r="I58" s="285"/>
      <c r="J58" s="285"/>
      <c r="K58" s="263"/>
      <c r="L58" s="263"/>
      <c r="M58" s="263"/>
      <c r="N58" s="263"/>
      <c r="O58" s="263"/>
      <c r="P58" s="263"/>
      <c r="Q58" s="263"/>
      <c r="R58" s="263"/>
      <c r="S58" s="263"/>
      <c r="T58" s="285"/>
      <c r="U58" s="285"/>
      <c r="V58" s="285"/>
      <c r="W58" s="263"/>
    </row>
    <row r="59" spans="1:23" s="283" customFormat="1">
      <c r="A59" s="263"/>
      <c r="B59" s="263"/>
      <c r="C59" s="263"/>
      <c r="D59" s="263"/>
      <c r="E59" s="263"/>
      <c r="F59" s="285"/>
      <c r="G59" s="285"/>
      <c r="H59" s="289"/>
      <c r="I59" s="289"/>
      <c r="J59" s="289"/>
      <c r="K59" s="263"/>
      <c r="L59" s="263"/>
      <c r="M59" s="263"/>
      <c r="N59" s="263"/>
      <c r="O59" s="263"/>
      <c r="P59" s="263"/>
      <c r="Q59" s="263"/>
      <c r="R59" s="263"/>
      <c r="S59" s="263"/>
      <c r="T59" s="285"/>
      <c r="U59" s="285"/>
      <c r="V59" s="285"/>
      <c r="W59" s="263"/>
    </row>
    <row r="60" spans="1:23" s="283" customFormat="1">
      <c r="A60" s="263"/>
      <c r="B60" s="263"/>
      <c r="C60" s="263"/>
      <c r="D60" s="263"/>
      <c r="E60" s="263"/>
      <c r="F60" s="285"/>
      <c r="G60" s="285"/>
      <c r="H60" s="285"/>
      <c r="I60" s="285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85"/>
      <c r="U60" s="285"/>
      <c r="V60" s="285"/>
      <c r="W60" s="263"/>
    </row>
    <row r="61" spans="1:23" s="283" customFormat="1">
      <c r="A61" s="263"/>
      <c r="B61" s="263"/>
      <c r="C61" s="263"/>
      <c r="D61" s="263"/>
      <c r="E61" s="263"/>
      <c r="F61" s="285"/>
      <c r="G61" s="285"/>
      <c r="H61" s="285"/>
      <c r="I61" s="285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85"/>
      <c r="U61" s="285"/>
      <c r="V61" s="285"/>
      <c r="W61" s="263"/>
    </row>
    <row r="62" spans="1:23" s="283" customFormat="1">
      <c r="A62" s="263"/>
      <c r="B62" s="263"/>
      <c r="C62" s="263"/>
      <c r="D62" s="263"/>
      <c r="E62" s="263"/>
      <c r="F62" s="285"/>
      <c r="G62" s="285"/>
      <c r="H62" s="285"/>
      <c r="I62" s="285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85"/>
      <c r="U62" s="285"/>
      <c r="V62" s="285"/>
      <c r="W62" s="263"/>
    </row>
    <row r="63" spans="1:23" s="283" customFormat="1">
      <c r="A63" s="263"/>
      <c r="B63" s="263"/>
      <c r="C63" s="263"/>
      <c r="D63" s="263"/>
      <c r="E63" s="263"/>
      <c r="F63" s="285"/>
      <c r="G63" s="285"/>
      <c r="H63" s="285"/>
      <c r="I63" s="285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85"/>
      <c r="U63" s="285"/>
      <c r="V63" s="285"/>
      <c r="W63" s="263"/>
    </row>
    <row r="64" spans="1:23">
      <c r="A64" s="290"/>
      <c r="B64" s="290"/>
      <c r="C64" s="290"/>
      <c r="D64" s="290"/>
      <c r="E64" s="290"/>
      <c r="F64" s="291"/>
      <c r="G64" s="291"/>
      <c r="H64" s="291"/>
      <c r="I64" s="291"/>
      <c r="J64" s="291"/>
      <c r="K64" s="290"/>
      <c r="L64" s="290"/>
      <c r="M64" s="290"/>
      <c r="N64" s="290"/>
      <c r="O64" s="290"/>
      <c r="P64" s="290"/>
      <c r="Q64" s="290"/>
      <c r="R64" s="290"/>
      <c r="S64" s="290"/>
      <c r="T64" s="291"/>
      <c r="U64" s="291"/>
      <c r="V64" s="291"/>
      <c r="W64" s="290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29" type="noConversion"/>
  <pageMargins left="0.25" right="0.25" top="0.75" bottom="0.75" header="0.3" footer="0.3"/>
  <pageSetup paperSize="9" scale="62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7"/>
  <sheetViews>
    <sheetView topLeftCell="A7" workbookViewId="0">
      <selection activeCell="A32" sqref="A32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125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126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9">
        <f t="shared" si="0"/>
        <v>33125</v>
      </c>
    </row>
    <row r="5" spans="1:18">
      <c r="A5" s="253" t="s">
        <v>132</v>
      </c>
      <c r="B5" s="295">
        <f>32781.75+62272.5</f>
        <v>95054.25</v>
      </c>
      <c r="C5" s="264"/>
      <c r="D5" s="295">
        <v>29670</v>
      </c>
      <c r="E5" s="296"/>
      <c r="F5" s="264"/>
      <c r="G5" s="297"/>
      <c r="H5" s="295"/>
      <c r="I5" s="296"/>
      <c r="J5" s="295"/>
      <c r="K5" s="295"/>
      <c r="L5" s="295"/>
      <c r="M5" s="280"/>
      <c r="N5" s="280">
        <f t="shared" si="0"/>
        <v>124724.25</v>
      </c>
      <c r="P5" s="307"/>
      <c r="Q5" s="308"/>
      <c r="R5" s="308"/>
    </row>
    <row r="6" spans="1:18">
      <c r="A6" s="208" t="s">
        <v>131</v>
      </c>
      <c r="B6" s="278">
        <v>2033.51</v>
      </c>
      <c r="C6" s="278"/>
      <c r="D6" s="278"/>
      <c r="E6" s="298"/>
      <c r="F6" s="264"/>
      <c r="G6" s="298"/>
      <c r="H6" s="278"/>
      <c r="I6" s="298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135</v>
      </c>
      <c r="B7" s="278">
        <v>16000</v>
      </c>
      <c r="C7" s="278"/>
      <c r="D7" s="278"/>
      <c r="E7" s="298"/>
      <c r="F7" s="278"/>
      <c r="G7" s="298"/>
      <c r="H7" s="278"/>
      <c r="I7" s="298"/>
      <c r="J7" s="278">
        <v>20000</v>
      </c>
      <c r="K7" s="278">
        <v>19200</v>
      </c>
      <c r="L7" s="278">
        <v>20000</v>
      </c>
      <c r="M7" s="278"/>
      <c r="N7" s="267">
        <f t="shared" si="0"/>
        <v>75200</v>
      </c>
    </row>
    <row r="8" spans="1:18">
      <c r="A8" s="11" t="s">
        <v>162</v>
      </c>
      <c r="B8" s="299"/>
      <c r="C8" s="299">
        <v>20000</v>
      </c>
      <c r="D8" s="299"/>
      <c r="E8" s="299"/>
      <c r="F8" s="299"/>
      <c r="G8" s="299"/>
      <c r="H8" s="299">
        <v>10000</v>
      </c>
      <c r="I8" s="299"/>
      <c r="J8" s="300"/>
      <c r="K8" s="300"/>
      <c r="L8" s="300"/>
      <c r="M8" s="279"/>
      <c r="N8" s="280">
        <f t="shared" si="0"/>
        <v>30000</v>
      </c>
    </row>
    <row r="9" spans="1:18">
      <c r="A9" s="13" t="s">
        <v>188</v>
      </c>
      <c r="B9" s="299"/>
      <c r="C9" s="299"/>
      <c r="D9" s="299">
        <v>1231.2</v>
      </c>
      <c r="E9" s="299"/>
      <c r="F9" s="299"/>
      <c r="G9" s="299"/>
      <c r="H9" s="299"/>
      <c r="I9" s="299"/>
      <c r="J9" s="299"/>
      <c r="K9" s="299"/>
      <c r="L9" s="299"/>
      <c r="M9" s="301"/>
      <c r="N9" s="280">
        <f t="shared" si="0"/>
        <v>1231.2</v>
      </c>
    </row>
    <row r="10" spans="1:18">
      <c r="A10" s="11" t="s">
        <v>211</v>
      </c>
      <c r="B10" s="278"/>
      <c r="C10" s="278"/>
      <c r="D10" s="278"/>
      <c r="E10" s="298">
        <v>300000</v>
      </c>
      <c r="F10" s="278"/>
      <c r="G10" s="298"/>
      <c r="H10" s="278"/>
      <c r="I10" s="298">
        <v>100000</v>
      </c>
      <c r="J10" s="278"/>
      <c r="K10" s="278"/>
      <c r="L10" s="278"/>
      <c r="M10" s="267"/>
      <c r="N10" s="280">
        <f t="shared" ref="N10:N18" si="1">SUM(B10:M10)</f>
        <v>400000</v>
      </c>
    </row>
    <row r="11" spans="1:18">
      <c r="A11" s="221" t="s">
        <v>214</v>
      </c>
      <c r="B11" s="304"/>
      <c r="C11" s="304"/>
      <c r="D11" s="295"/>
      <c r="E11" s="264">
        <f>52160+54200</f>
        <v>106360</v>
      </c>
      <c r="F11" s="295"/>
      <c r="G11" s="295"/>
      <c r="H11" s="295"/>
      <c r="I11" s="295"/>
      <c r="J11" s="295"/>
      <c r="K11" s="295"/>
      <c r="L11" s="295"/>
      <c r="M11" s="295"/>
      <c r="N11" s="280">
        <f t="shared" si="1"/>
        <v>106360</v>
      </c>
    </row>
    <row r="12" spans="1:18">
      <c r="A12" s="3" t="s">
        <v>216</v>
      </c>
      <c r="B12" s="264"/>
      <c r="C12" s="264"/>
      <c r="D12" s="264"/>
      <c r="E12" s="264">
        <v>12169</v>
      </c>
      <c r="F12" s="264"/>
      <c r="G12" s="297"/>
      <c r="H12" s="264"/>
      <c r="I12" s="297"/>
      <c r="J12" s="264"/>
      <c r="K12" s="264"/>
      <c r="L12" s="264"/>
      <c r="M12" s="305"/>
      <c r="N12" s="280">
        <f t="shared" si="1"/>
        <v>12169</v>
      </c>
    </row>
    <row r="13" spans="1:18">
      <c r="A13" s="3" t="s">
        <v>249</v>
      </c>
      <c r="B13" s="264"/>
      <c r="C13" s="264"/>
      <c r="D13" s="264"/>
      <c r="E13" s="264"/>
      <c r="F13" s="264">
        <v>60000</v>
      </c>
      <c r="G13" s="297"/>
      <c r="H13" s="264"/>
      <c r="I13" s="264"/>
      <c r="J13" s="264"/>
      <c r="K13" s="264"/>
      <c r="L13" s="264"/>
      <c r="M13" s="305"/>
      <c r="N13" s="280">
        <f t="shared" si="1"/>
        <v>60000</v>
      </c>
    </row>
    <row r="14" spans="1:18">
      <c r="A14" s="3" t="s">
        <v>250</v>
      </c>
      <c r="B14" s="264"/>
      <c r="C14" s="264"/>
      <c r="D14" s="264"/>
      <c r="E14" s="264"/>
      <c r="F14" s="264">
        <v>17800</v>
      </c>
      <c r="G14" s="297"/>
      <c r="H14" s="264"/>
      <c r="I14" s="264"/>
      <c r="J14" s="264"/>
      <c r="K14" s="264"/>
      <c r="L14" s="264"/>
      <c r="M14" s="305"/>
      <c r="N14" s="280">
        <f t="shared" si="1"/>
        <v>17800</v>
      </c>
    </row>
    <row r="15" spans="1:18">
      <c r="A15" s="3" t="s">
        <v>251</v>
      </c>
      <c r="B15" s="264"/>
      <c r="C15" s="264"/>
      <c r="D15" s="264"/>
      <c r="E15" s="297"/>
      <c r="F15" s="264">
        <f>2305+1905</f>
        <v>4210</v>
      </c>
      <c r="G15" s="297"/>
      <c r="H15" s="264">
        <f>1896+2203</f>
        <v>4099</v>
      </c>
      <c r="I15" s="297"/>
      <c r="J15" s="264">
        <v>3720</v>
      </c>
      <c r="K15" s="264"/>
      <c r="L15" s="264"/>
      <c r="M15" s="305"/>
      <c r="N15" s="280">
        <f t="shared" si="1"/>
        <v>12029</v>
      </c>
    </row>
    <row r="16" spans="1:18">
      <c r="A16" s="3" t="s">
        <v>252</v>
      </c>
      <c r="B16" s="264"/>
      <c r="C16" s="264"/>
      <c r="D16" s="264"/>
      <c r="E16" s="264"/>
      <c r="F16" s="264">
        <f>11079+3693</f>
        <v>14772</v>
      </c>
      <c r="G16" s="297"/>
      <c r="H16" s="264"/>
      <c r="I16" s="297"/>
      <c r="J16" s="264"/>
      <c r="K16" s="264"/>
      <c r="L16" s="264"/>
      <c r="M16" s="305"/>
      <c r="N16" s="280">
        <f t="shared" si="1"/>
        <v>14772</v>
      </c>
    </row>
    <row r="17" spans="1:14">
      <c r="A17" s="3" t="s">
        <v>259</v>
      </c>
      <c r="B17" s="264"/>
      <c r="C17" s="264"/>
      <c r="D17" s="264"/>
      <c r="E17" s="264"/>
      <c r="F17" s="264">
        <v>9270</v>
      </c>
      <c r="G17" s="297"/>
      <c r="H17" s="264"/>
      <c r="I17" s="264"/>
      <c r="J17" s="264"/>
      <c r="K17" s="264"/>
      <c r="L17" s="264"/>
      <c r="M17" s="305"/>
      <c r="N17" s="280">
        <f t="shared" si="1"/>
        <v>9270</v>
      </c>
    </row>
    <row r="18" spans="1:14">
      <c r="A18" s="3" t="s">
        <v>272</v>
      </c>
      <c r="B18" s="264"/>
      <c r="C18" s="264"/>
      <c r="D18" s="264"/>
      <c r="E18" s="264"/>
      <c r="F18" s="264">
        <v>491</v>
      </c>
      <c r="G18" s="297"/>
      <c r="H18" s="264"/>
      <c r="I18" s="264"/>
      <c r="J18" s="264"/>
      <c r="K18" s="264"/>
      <c r="L18" s="264"/>
      <c r="M18" s="305"/>
      <c r="N18" s="280">
        <f t="shared" si="1"/>
        <v>491</v>
      </c>
    </row>
    <row r="19" spans="1:14">
      <c r="A19" s="190" t="s">
        <v>187</v>
      </c>
      <c r="B19" s="93"/>
      <c r="C19" s="93"/>
      <c r="D19" s="93">
        <f>9135+1365</f>
        <v>10500</v>
      </c>
      <c r="E19" s="93"/>
      <c r="F19" s="93"/>
      <c r="G19" s="93"/>
      <c r="H19" s="93"/>
      <c r="I19" s="93"/>
      <c r="J19" s="93"/>
      <c r="K19" s="93"/>
      <c r="L19" s="237"/>
      <c r="M19" s="237"/>
      <c r="N19" s="29">
        <f>SUM(B19:M19)</f>
        <v>10500</v>
      </c>
    </row>
    <row r="20" spans="1:14">
      <c r="A20" s="17" t="s">
        <v>245</v>
      </c>
      <c r="B20" s="93"/>
      <c r="C20" s="190"/>
      <c r="D20" s="190"/>
      <c r="E20" s="93"/>
      <c r="F20" s="190">
        <v>52100</v>
      </c>
      <c r="G20" s="190"/>
      <c r="H20" s="190"/>
      <c r="I20" s="190"/>
      <c r="J20" s="190"/>
      <c r="K20" s="190"/>
      <c r="L20" s="196"/>
      <c r="M20" s="196"/>
      <c r="N20" s="17">
        <f t="shared" ref="N20:N33" si="2">SUM(B20:M20)</f>
        <v>52100</v>
      </c>
    </row>
    <row r="21" spans="1:14">
      <c r="A21" s="4" t="s">
        <v>99</v>
      </c>
      <c r="B21" s="93"/>
      <c r="C21" s="190"/>
      <c r="D21" s="88">
        <v>159547</v>
      </c>
      <c r="E21" s="190"/>
      <c r="F21" s="190"/>
      <c r="G21" s="190"/>
      <c r="H21" s="190"/>
      <c r="I21" s="190"/>
      <c r="J21" s="190"/>
      <c r="K21" s="190"/>
      <c r="L21" s="196"/>
      <c r="M21" s="196"/>
      <c r="N21" s="280">
        <f t="shared" si="2"/>
        <v>159547</v>
      </c>
    </row>
    <row r="22" spans="1:14">
      <c r="A22" s="254" t="s">
        <v>283</v>
      </c>
      <c r="B22" s="278"/>
      <c r="C22" s="278"/>
      <c r="D22" s="278"/>
      <c r="E22" s="298"/>
      <c r="F22" s="298"/>
      <c r="G22" s="298">
        <v>20000</v>
      </c>
      <c r="H22" s="278"/>
      <c r="I22" s="298"/>
      <c r="J22" s="278"/>
      <c r="K22" s="278"/>
      <c r="L22" s="278"/>
      <c r="M22" s="267"/>
      <c r="N22" s="280">
        <f t="shared" si="2"/>
        <v>20000</v>
      </c>
    </row>
    <row r="23" spans="1:14">
      <c r="A23" s="254" t="s">
        <v>290</v>
      </c>
      <c r="B23" s="278"/>
      <c r="C23" s="278"/>
      <c r="D23" s="278"/>
      <c r="E23" s="298"/>
      <c r="F23" s="298"/>
      <c r="G23" s="298">
        <v>23850</v>
      </c>
      <c r="H23" s="278"/>
      <c r="I23" s="298"/>
      <c r="J23" s="278"/>
      <c r="K23" s="278"/>
      <c r="L23" s="278"/>
      <c r="M23" s="267"/>
      <c r="N23" s="280">
        <f t="shared" si="2"/>
        <v>23850</v>
      </c>
    </row>
    <row r="24" spans="1:14">
      <c r="A24" s="11" t="s">
        <v>312</v>
      </c>
      <c r="B24" s="278"/>
      <c r="C24" s="278"/>
      <c r="D24" s="278"/>
      <c r="E24" s="298"/>
      <c r="F24" s="278"/>
      <c r="G24" s="298"/>
      <c r="H24" s="278">
        <v>16000</v>
      </c>
      <c r="I24" s="298"/>
      <c r="J24" s="278"/>
      <c r="K24" s="278"/>
      <c r="L24" s="278"/>
      <c r="M24" s="267"/>
      <c r="N24" s="280">
        <f t="shared" si="2"/>
        <v>16000</v>
      </c>
    </row>
    <row r="25" spans="1:14">
      <c r="A25" s="2" t="s">
        <v>316</v>
      </c>
      <c r="B25" s="93"/>
      <c r="C25" s="190"/>
      <c r="D25" s="93"/>
      <c r="E25" s="190"/>
      <c r="F25" s="190"/>
      <c r="G25" s="190"/>
      <c r="H25" s="278">
        <v>50000</v>
      </c>
      <c r="I25" s="190"/>
      <c r="J25" s="190"/>
      <c r="K25" s="190"/>
      <c r="L25" s="196"/>
      <c r="M25" s="196"/>
      <c r="N25" s="280">
        <f t="shared" si="2"/>
        <v>50000</v>
      </c>
    </row>
    <row r="26" spans="1:14">
      <c r="A26" s="11" t="s">
        <v>364</v>
      </c>
      <c r="B26" s="93"/>
      <c r="C26" s="190"/>
      <c r="D26" s="93"/>
      <c r="E26" s="190"/>
      <c r="F26" s="190"/>
      <c r="G26" s="190"/>
      <c r="H26" s="190"/>
      <c r="I26" s="190">
        <v>40000</v>
      </c>
      <c r="J26" s="190"/>
      <c r="K26" s="190"/>
      <c r="L26" s="196"/>
      <c r="M26" s="196"/>
      <c r="N26" s="280">
        <f t="shared" si="2"/>
        <v>40000</v>
      </c>
    </row>
    <row r="27" spans="1:14">
      <c r="A27" s="247" t="s">
        <v>365</v>
      </c>
      <c r="B27" s="99"/>
      <c r="C27" s="56"/>
      <c r="D27" s="56"/>
      <c r="E27" s="100"/>
      <c r="F27" s="88"/>
      <c r="G27" s="180"/>
      <c r="H27" s="6"/>
      <c r="I27" s="9">
        <v>14928</v>
      </c>
      <c r="J27" s="6"/>
      <c r="K27" s="6"/>
      <c r="L27" s="19"/>
      <c r="M27" s="19"/>
      <c r="N27" s="280">
        <f t="shared" si="2"/>
        <v>14928</v>
      </c>
    </row>
    <row r="28" spans="1:14">
      <c r="A28" s="248" t="s">
        <v>366</v>
      </c>
      <c r="B28" s="193"/>
      <c r="C28" s="193"/>
      <c r="D28" s="193"/>
      <c r="E28" s="194"/>
      <c r="F28" s="193"/>
      <c r="G28" s="194"/>
      <c r="H28" s="90"/>
      <c r="I28" s="91">
        <f>100000+200000</f>
        <v>300000</v>
      </c>
      <c r="J28" s="90"/>
      <c r="K28" s="90"/>
      <c r="L28" s="92"/>
      <c r="M28" s="92"/>
      <c r="N28" s="280">
        <f t="shared" si="2"/>
        <v>300000</v>
      </c>
    </row>
    <row r="29" spans="1:14">
      <c r="A29" s="218" t="s">
        <v>381</v>
      </c>
      <c r="B29" s="93"/>
      <c r="C29" s="93"/>
      <c r="D29" s="190"/>
      <c r="E29" s="181"/>
      <c r="F29" s="190"/>
      <c r="G29" s="191"/>
      <c r="H29" s="17"/>
      <c r="I29" s="10"/>
      <c r="J29" s="17">
        <f>3000+2000</f>
        <v>5000</v>
      </c>
      <c r="K29" s="17"/>
      <c r="L29" s="18"/>
      <c r="M29" s="18"/>
      <c r="N29" s="280">
        <f t="shared" si="2"/>
        <v>5000</v>
      </c>
    </row>
    <row r="30" spans="1:14">
      <c r="A30" s="218" t="s">
        <v>394</v>
      </c>
      <c r="B30" s="99"/>
      <c r="C30" s="88"/>
      <c r="D30" s="88"/>
      <c r="E30" s="100"/>
      <c r="F30" s="193"/>
      <c r="G30" s="180"/>
      <c r="H30" s="6"/>
      <c r="I30" s="9"/>
      <c r="J30" s="6"/>
      <c r="K30" s="6">
        <v>4200</v>
      </c>
      <c r="L30" s="19">
        <f>22245.06-20437</f>
        <v>1808.0600000000013</v>
      </c>
      <c r="M30" s="19"/>
      <c r="N30" s="280">
        <f t="shared" si="2"/>
        <v>6008.0600000000013</v>
      </c>
    </row>
    <row r="31" spans="1:14">
      <c r="A31" s="218" t="s">
        <v>427</v>
      </c>
      <c r="B31" s="99"/>
      <c r="C31" s="88"/>
      <c r="D31" s="88"/>
      <c r="E31" s="100"/>
      <c r="F31" s="193"/>
      <c r="G31" s="180"/>
      <c r="H31" s="6"/>
      <c r="I31" s="9"/>
      <c r="J31" s="6"/>
      <c r="K31" s="6"/>
      <c r="L31" s="19">
        <v>-20437</v>
      </c>
      <c r="M31" s="19"/>
      <c r="N31" s="280">
        <f t="shared" si="2"/>
        <v>-20437</v>
      </c>
    </row>
    <row r="32" spans="1:14">
      <c r="A32" s="218" t="s">
        <v>395</v>
      </c>
      <c r="B32" s="99"/>
      <c r="C32" s="88"/>
      <c r="D32" s="88"/>
      <c r="E32" s="100"/>
      <c r="F32" s="88"/>
      <c r="G32" s="180"/>
      <c r="H32" s="6"/>
      <c r="I32" s="9"/>
      <c r="J32" s="6"/>
      <c r="K32" s="6">
        <v>500</v>
      </c>
      <c r="L32" s="19"/>
      <c r="M32" s="19"/>
      <c r="N32" s="280">
        <f t="shared" si="2"/>
        <v>500</v>
      </c>
    </row>
    <row r="33" spans="1:14">
      <c r="A33" s="249" t="s">
        <v>396</v>
      </c>
      <c r="B33" s="99"/>
      <c r="C33" s="88"/>
      <c r="D33" s="88"/>
      <c r="E33" s="100"/>
      <c r="F33" s="88"/>
      <c r="G33" s="180"/>
      <c r="H33" s="6"/>
      <c r="I33" s="9"/>
      <c r="J33" s="6"/>
      <c r="K33" s="6">
        <v>75300</v>
      </c>
      <c r="L33" s="19"/>
      <c r="M33" s="19"/>
      <c r="N33" s="280">
        <f t="shared" si="2"/>
        <v>75300</v>
      </c>
    </row>
    <row r="34" spans="1:14">
      <c r="A34" s="249" t="s">
        <v>397</v>
      </c>
      <c r="B34" s="99"/>
      <c r="C34" s="88"/>
      <c r="D34" s="88"/>
      <c r="E34" s="100"/>
      <c r="F34" s="88"/>
      <c r="G34" s="180"/>
      <c r="H34" s="6"/>
      <c r="I34" s="9"/>
      <c r="J34" s="6"/>
      <c r="K34" s="6">
        <f>20500+20500+2500</f>
        <v>43500</v>
      </c>
      <c r="L34" s="19"/>
      <c r="M34" s="19"/>
      <c r="N34" s="280">
        <f t="shared" ref="N34:N52" si="3">SUM(B34:M34)</f>
        <v>43500</v>
      </c>
    </row>
    <row r="35" spans="1:14">
      <c r="A35" s="249" t="s">
        <v>245</v>
      </c>
      <c r="B35" s="99"/>
      <c r="C35" s="88"/>
      <c r="D35" s="88"/>
      <c r="E35" s="100"/>
      <c r="F35" s="88"/>
      <c r="G35" s="180"/>
      <c r="H35" s="6"/>
      <c r="I35" s="9"/>
      <c r="J35" s="6"/>
      <c r="K35" s="6">
        <v>115575</v>
      </c>
      <c r="L35" s="19"/>
      <c r="M35" s="19"/>
      <c r="N35" s="280">
        <f t="shared" si="3"/>
        <v>115575</v>
      </c>
    </row>
    <row r="36" spans="1:14">
      <c r="A36" s="249" t="s">
        <v>407</v>
      </c>
      <c r="B36" s="99"/>
      <c r="C36" s="88"/>
      <c r="D36" s="88"/>
      <c r="E36" s="193"/>
      <c r="F36" s="88"/>
      <c r="G36" s="180"/>
      <c r="H36" s="6"/>
      <c r="I36" s="9"/>
      <c r="J36" s="6"/>
      <c r="K36" s="6">
        <v>28158.02</v>
      </c>
      <c r="L36" s="19"/>
      <c r="M36" s="19"/>
      <c r="N36" s="280">
        <f t="shared" si="3"/>
        <v>28158.02</v>
      </c>
    </row>
    <row r="37" spans="1:14">
      <c r="A37" s="249" t="s">
        <v>163</v>
      </c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>
        <v>884</v>
      </c>
      <c r="M37" s="19"/>
      <c r="N37" s="280">
        <f t="shared" si="3"/>
        <v>884</v>
      </c>
    </row>
    <row r="38" spans="1:14">
      <c r="A38" s="249" t="s">
        <v>426</v>
      </c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>
        <v>3400</v>
      </c>
      <c r="M38" s="19"/>
      <c r="N38" s="280">
        <f t="shared" si="3"/>
        <v>3400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0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0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0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0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0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0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0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0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0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0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0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0">
        <f t="shared" si="3"/>
        <v>0</v>
      </c>
    </row>
    <row r="51" spans="1:14">
      <c r="A51" s="249"/>
      <c r="B51" s="99"/>
      <c r="C51" s="88"/>
      <c r="D51" s="88"/>
      <c r="E51" s="194"/>
      <c r="F51" s="88"/>
      <c r="G51" s="180"/>
      <c r="H51" s="6"/>
      <c r="I51" s="9"/>
      <c r="J51" s="6"/>
      <c r="K51" s="6"/>
      <c r="L51" s="19"/>
      <c r="M51" s="19"/>
      <c r="N51" s="280">
        <f t="shared" si="3"/>
        <v>0</v>
      </c>
    </row>
    <row r="52" spans="1:14">
      <c r="A52" s="3"/>
      <c r="B52" s="264"/>
      <c r="C52" s="264"/>
      <c r="D52" s="264"/>
      <c r="E52" s="264"/>
      <c r="F52" s="264"/>
      <c r="G52" s="297"/>
      <c r="H52" s="264"/>
      <c r="I52" s="297"/>
      <c r="J52" s="264"/>
      <c r="K52" s="264"/>
      <c r="L52" s="264"/>
      <c r="M52" s="264"/>
      <c r="N52" s="267">
        <f t="shared" si="3"/>
        <v>0</v>
      </c>
    </row>
    <row r="53" spans="1:14">
      <c r="A53" s="11"/>
      <c r="B53" s="278"/>
      <c r="C53" s="278"/>
      <c r="D53" s="278"/>
      <c r="E53" s="298"/>
      <c r="F53" s="278"/>
      <c r="G53" s="298"/>
      <c r="H53" s="278"/>
      <c r="I53" s="298"/>
      <c r="J53" s="278"/>
      <c r="K53" s="278"/>
      <c r="L53" s="278"/>
      <c r="M53" s="267"/>
      <c r="N53" s="280">
        <f t="shared" ref="N53:N64" si="4">SUM(B53:M53)</f>
        <v>0</v>
      </c>
    </row>
    <row r="54" spans="1:14">
      <c r="A54" s="326"/>
      <c r="B54" s="264"/>
      <c r="C54" s="264"/>
      <c r="D54" s="264"/>
      <c r="E54" s="264"/>
      <c r="F54" s="306"/>
      <c r="G54" s="297"/>
      <c r="H54" s="264"/>
      <c r="I54" s="297"/>
      <c r="J54" s="264"/>
      <c r="K54" s="264"/>
      <c r="L54" s="264"/>
      <c r="M54" s="305"/>
      <c r="N54" s="280">
        <f t="shared" si="4"/>
        <v>0</v>
      </c>
    </row>
    <row r="55" spans="1:14">
      <c r="A55" s="221"/>
      <c r="B55" s="264"/>
      <c r="C55" s="264"/>
      <c r="D55" s="264"/>
      <c r="E55" s="264"/>
      <c r="F55" s="297"/>
      <c r="G55" s="297"/>
      <c r="H55" s="264"/>
      <c r="I55" s="297"/>
      <c r="J55" s="264"/>
      <c r="K55" s="264"/>
      <c r="L55" s="278"/>
      <c r="M55" s="305"/>
      <c r="N55" s="280">
        <f t="shared" si="4"/>
        <v>0</v>
      </c>
    </row>
    <row r="56" spans="1:14">
      <c r="A56" s="255"/>
      <c r="B56" s="264"/>
      <c r="C56" s="264"/>
      <c r="D56" s="264"/>
      <c r="E56" s="264"/>
      <c r="F56" s="306"/>
      <c r="G56" s="297"/>
      <c r="H56" s="264"/>
      <c r="I56" s="297"/>
      <c r="J56" s="264"/>
      <c r="K56" s="264"/>
      <c r="L56" s="278"/>
      <c r="M56" s="305"/>
      <c r="N56" s="280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0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0">
        <f t="shared" si="4"/>
        <v>0</v>
      </c>
    </row>
    <row r="59" spans="1:14">
      <c r="A59" s="17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80">
        <f t="shared" si="4"/>
        <v>0</v>
      </c>
    </row>
    <row r="60" spans="1:14">
      <c r="A60" s="4"/>
      <c r="B60" s="264"/>
      <c r="C60" s="295"/>
      <c r="D60" s="264"/>
      <c r="E60" s="295"/>
      <c r="F60" s="295"/>
      <c r="G60" s="295"/>
      <c r="H60" s="295"/>
      <c r="I60" s="295"/>
      <c r="J60" s="295"/>
      <c r="K60" s="295"/>
      <c r="L60" s="295"/>
      <c r="M60" s="295"/>
      <c r="N60" s="280">
        <f t="shared" si="4"/>
        <v>0</v>
      </c>
    </row>
    <row r="61" spans="1:14">
      <c r="A61" s="4"/>
      <c r="B61" s="264"/>
      <c r="C61" s="295"/>
      <c r="D61" s="264"/>
      <c r="E61" s="295"/>
      <c r="F61" s="295"/>
      <c r="G61" s="295"/>
      <c r="H61" s="295"/>
      <c r="I61" s="295"/>
      <c r="J61" s="295"/>
      <c r="K61" s="295"/>
      <c r="L61" s="295"/>
      <c r="M61" s="295"/>
      <c r="N61" s="280">
        <f t="shared" si="4"/>
        <v>0</v>
      </c>
    </row>
    <row r="62" spans="1:14">
      <c r="A62" s="4"/>
      <c r="B62" s="264"/>
      <c r="C62" s="295"/>
      <c r="D62" s="264"/>
      <c r="E62" s="295"/>
      <c r="F62" s="295"/>
      <c r="G62" s="295"/>
      <c r="H62" s="295"/>
      <c r="I62" s="295"/>
      <c r="J62" s="295"/>
      <c r="K62" s="295"/>
      <c r="L62" s="295"/>
      <c r="M62" s="295"/>
      <c r="N62" s="280">
        <f t="shared" si="4"/>
        <v>0</v>
      </c>
    </row>
    <row r="63" spans="1:14">
      <c r="A63" s="254"/>
      <c r="B63" s="99"/>
      <c r="C63" s="99"/>
      <c r="D63" s="99"/>
      <c r="E63" s="100"/>
      <c r="F63" s="93"/>
      <c r="G63" s="100"/>
      <c r="H63" s="99"/>
      <c r="I63" s="100"/>
      <c r="J63" s="99"/>
      <c r="K63" s="99"/>
      <c r="L63" s="236"/>
      <c r="M63" s="31"/>
      <c r="N63" s="280">
        <f t="shared" si="4"/>
        <v>0</v>
      </c>
    </row>
    <row r="64" spans="1:1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3"/>
      <c r="N64" s="280">
        <f t="shared" si="4"/>
        <v>0</v>
      </c>
    </row>
    <row r="65" spans="1:14">
      <c r="A65" s="5" t="s">
        <v>14</v>
      </c>
      <c r="B65" s="225">
        <f t="shared" ref="B65:N65" si="5">SUM(B3:B64)</f>
        <v>161412.76</v>
      </c>
      <c r="C65" s="225">
        <f t="shared" si="5"/>
        <v>20000</v>
      </c>
      <c r="D65" s="225">
        <f t="shared" si="5"/>
        <v>200948.2</v>
      </c>
      <c r="E65" s="225">
        <f t="shared" si="5"/>
        <v>418529</v>
      </c>
      <c r="F65" s="225">
        <f t="shared" si="5"/>
        <v>158643</v>
      </c>
      <c r="G65" s="225">
        <f t="shared" si="5"/>
        <v>43850</v>
      </c>
      <c r="H65" s="225">
        <f t="shared" si="5"/>
        <v>80099</v>
      </c>
      <c r="I65" s="225">
        <f t="shared" si="5"/>
        <v>454928</v>
      </c>
      <c r="J65" s="225">
        <f t="shared" si="5"/>
        <v>28720</v>
      </c>
      <c r="K65" s="225">
        <f t="shared" si="5"/>
        <v>286433.02</v>
      </c>
      <c r="L65" s="225">
        <f t="shared" si="5"/>
        <v>5655.0600000000013</v>
      </c>
      <c r="M65" s="225">
        <f t="shared" si="5"/>
        <v>0</v>
      </c>
      <c r="N65" s="225">
        <f t="shared" si="5"/>
        <v>1859218.04</v>
      </c>
    </row>
    <row r="67" spans="1:14">
      <c r="N67" s="234">
        <f>SUM(B65:M65)-N65</f>
        <v>0</v>
      </c>
    </row>
  </sheetData>
  <phoneticPr fontId="29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H7" sqref="H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11.85546875" bestFit="1" customWidth="1"/>
    <col min="5" max="5" width="12.85546875" style="30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123</v>
      </c>
      <c r="B5" s="335">
        <v>323087</v>
      </c>
      <c r="C5" s="335">
        <v>900000</v>
      </c>
      <c r="D5" s="336"/>
      <c r="E5" s="337"/>
      <c r="F5" s="335"/>
      <c r="G5" s="337"/>
      <c r="H5" s="338"/>
      <c r="I5" s="339"/>
      <c r="J5" s="338"/>
      <c r="K5" s="338"/>
      <c r="L5" s="338"/>
      <c r="M5" s="338"/>
      <c r="N5" s="279">
        <f t="shared" si="0"/>
        <v>1223087</v>
      </c>
    </row>
    <row r="6" spans="1:14">
      <c r="A6" s="245"/>
      <c r="B6" s="340"/>
      <c r="C6" s="340">
        <v>517595</v>
      </c>
      <c r="D6" s="335">
        <v>1473297.5</v>
      </c>
      <c r="E6" s="341">
        <v>282599</v>
      </c>
      <c r="F6" s="340">
        <v>2000000</v>
      </c>
      <c r="G6" s="341">
        <v>500000</v>
      </c>
      <c r="H6" s="342">
        <v>406548</v>
      </c>
      <c r="I6" s="343"/>
      <c r="J6" s="342"/>
      <c r="K6" s="342"/>
      <c r="L6" s="342"/>
      <c r="M6" s="342"/>
      <c r="N6" s="279">
        <f t="shared" si="0"/>
        <v>5180039.5</v>
      </c>
    </row>
    <row r="7" spans="1:14">
      <c r="A7" s="334" t="s">
        <v>282</v>
      </c>
      <c r="B7" s="302"/>
      <c r="C7" s="302"/>
      <c r="D7" s="333">
        <f>5600+5600+5600+5600</f>
        <v>22400</v>
      </c>
      <c r="E7" s="302"/>
      <c r="F7" s="302"/>
      <c r="G7" s="302"/>
      <c r="H7" s="302"/>
      <c r="I7" s="302"/>
      <c r="J7" s="302"/>
      <c r="K7" s="302"/>
      <c r="L7" s="302"/>
      <c r="M7" s="303"/>
      <c r="N7" s="280">
        <f>SUM(B7:M7)</f>
        <v>22400</v>
      </c>
    </row>
    <row r="8" spans="1:14">
      <c r="A8" s="244"/>
      <c r="B8" s="264"/>
      <c r="C8" s="295"/>
      <c r="D8" s="295">
        <v>558863</v>
      </c>
      <c r="E8" s="297"/>
      <c r="F8" s="295"/>
      <c r="G8" s="296"/>
      <c r="H8" s="280"/>
      <c r="I8" s="344"/>
      <c r="J8" s="280"/>
      <c r="K8" s="280"/>
      <c r="L8" s="280"/>
      <c r="M8" s="280"/>
      <c r="N8" s="280">
        <f t="shared" si="0"/>
        <v>558863</v>
      </c>
    </row>
    <row r="9" spans="1:14">
      <c r="A9" s="246" t="s">
        <v>207</v>
      </c>
      <c r="B9" s="278"/>
      <c r="C9" s="300"/>
      <c r="D9" s="300">
        <f>3022+84860.92</f>
        <v>87882.92</v>
      </c>
      <c r="E9" s="298"/>
      <c r="F9" s="300"/>
      <c r="G9" s="345"/>
      <c r="H9" s="279"/>
      <c r="I9" s="346"/>
      <c r="J9" s="279"/>
      <c r="K9" s="279"/>
      <c r="L9" s="279"/>
      <c r="M9" s="279"/>
      <c r="N9" s="279">
        <f t="shared" si="0"/>
        <v>87882.92</v>
      </c>
    </row>
    <row r="10" spans="1:14">
      <c r="A10" s="247"/>
      <c r="B10" s="278"/>
      <c r="C10" s="347"/>
      <c r="D10" s="347"/>
      <c r="E10" s="298"/>
      <c r="F10" s="300"/>
      <c r="G10" s="345"/>
      <c r="H10" s="279"/>
      <c r="I10" s="346"/>
      <c r="J10" s="279"/>
      <c r="K10" s="279"/>
      <c r="L10" s="279"/>
      <c r="M10" s="279"/>
      <c r="N10" s="279">
        <f t="shared" si="0"/>
        <v>0</v>
      </c>
    </row>
    <row r="11" spans="1:14">
      <c r="A11" s="248"/>
      <c r="B11" s="340"/>
      <c r="C11" s="340"/>
      <c r="D11" s="340"/>
      <c r="E11" s="341"/>
      <c r="F11" s="340"/>
      <c r="G11" s="341"/>
      <c r="H11" s="342"/>
      <c r="I11" s="343"/>
      <c r="J11" s="342"/>
      <c r="K11" s="342"/>
      <c r="L11" s="342"/>
      <c r="M11" s="342"/>
      <c r="N11" s="279">
        <f t="shared" si="0"/>
        <v>0</v>
      </c>
    </row>
    <row r="12" spans="1:14">
      <c r="A12" s="218"/>
      <c r="B12" s="264"/>
      <c r="C12" s="264"/>
      <c r="D12" s="295"/>
      <c r="E12" s="297"/>
      <c r="F12" s="295"/>
      <c r="G12" s="296"/>
      <c r="H12" s="280"/>
      <c r="I12" s="344"/>
      <c r="J12" s="280"/>
      <c r="K12" s="280"/>
      <c r="L12" s="280"/>
      <c r="M12" s="280"/>
      <c r="N12" s="279">
        <f t="shared" si="0"/>
        <v>0</v>
      </c>
    </row>
    <row r="13" spans="1:14">
      <c r="A13" s="218"/>
      <c r="B13" s="278"/>
      <c r="C13" s="300"/>
      <c r="D13" s="300"/>
      <c r="E13" s="298"/>
      <c r="F13" s="340"/>
      <c r="G13" s="345"/>
      <c r="H13" s="279"/>
      <c r="I13" s="346"/>
      <c r="J13" s="279"/>
      <c r="K13" s="279"/>
      <c r="L13" s="279"/>
      <c r="M13" s="279"/>
      <c r="N13" s="279">
        <f t="shared" si="0"/>
        <v>0</v>
      </c>
    </row>
    <row r="14" spans="1:14">
      <c r="A14" s="218"/>
      <c r="B14" s="278"/>
      <c r="C14" s="300"/>
      <c r="D14" s="300"/>
      <c r="E14" s="298"/>
      <c r="F14" s="300"/>
      <c r="G14" s="345"/>
      <c r="H14" s="279"/>
      <c r="I14" s="346"/>
      <c r="J14" s="279"/>
      <c r="K14" s="279"/>
      <c r="L14" s="279"/>
      <c r="M14" s="279"/>
      <c r="N14" s="279">
        <f t="shared" si="0"/>
        <v>0</v>
      </c>
    </row>
    <row r="15" spans="1:14">
      <c r="A15" s="249"/>
      <c r="B15" s="278"/>
      <c r="C15" s="300"/>
      <c r="D15" s="300"/>
      <c r="E15" s="340"/>
      <c r="F15" s="300"/>
      <c r="G15" s="345"/>
      <c r="H15" s="279"/>
      <c r="I15" s="346"/>
      <c r="J15" s="279"/>
      <c r="K15" s="279"/>
      <c r="L15" s="279"/>
      <c r="M15" s="279"/>
      <c r="N15" s="279">
        <f t="shared" si="0"/>
        <v>0</v>
      </c>
    </row>
    <row r="16" spans="1:14">
      <c r="A16" s="249"/>
      <c r="B16" s="278"/>
      <c r="C16" s="300"/>
      <c r="D16" s="300"/>
      <c r="E16" s="298"/>
      <c r="F16" s="300"/>
      <c r="G16" s="345"/>
      <c r="H16" s="279"/>
      <c r="I16" s="346"/>
      <c r="J16" s="279"/>
      <c r="K16" s="279"/>
      <c r="L16" s="279"/>
      <c r="M16" s="279"/>
      <c r="N16" s="279">
        <f t="shared" si="0"/>
        <v>0</v>
      </c>
    </row>
    <row r="17" spans="1:14">
      <c r="A17" s="5" t="s">
        <v>14</v>
      </c>
      <c r="B17" s="268">
        <f t="shared" ref="B17:N17" si="1">SUM(B4:B16)</f>
        <v>323087</v>
      </c>
      <c r="C17" s="268">
        <f t="shared" si="1"/>
        <v>1417595</v>
      </c>
      <c r="D17" s="268">
        <f t="shared" si="1"/>
        <v>2142443.42</v>
      </c>
      <c r="E17" s="268">
        <f t="shared" si="1"/>
        <v>282599</v>
      </c>
      <c r="F17" s="268">
        <f t="shared" si="1"/>
        <v>2000000</v>
      </c>
      <c r="G17" s="268">
        <f t="shared" si="1"/>
        <v>500000</v>
      </c>
      <c r="H17" s="268">
        <f t="shared" si="1"/>
        <v>406548</v>
      </c>
      <c r="I17" s="268">
        <f t="shared" si="1"/>
        <v>0</v>
      </c>
      <c r="J17" s="268">
        <f t="shared" si="1"/>
        <v>0</v>
      </c>
      <c r="K17" s="268">
        <f t="shared" si="1"/>
        <v>0</v>
      </c>
      <c r="L17" s="268">
        <f t="shared" si="1"/>
        <v>0</v>
      </c>
      <c r="M17" s="268">
        <f t="shared" si="1"/>
        <v>0</v>
      </c>
      <c r="N17" s="268">
        <f t="shared" si="1"/>
        <v>7072272.4199999999</v>
      </c>
    </row>
    <row r="19" spans="1:14">
      <c r="N19" s="234">
        <f>SUM(B17:M17)-N17</f>
        <v>0</v>
      </c>
    </row>
  </sheetData>
  <phoneticPr fontId="29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L7" sqref="L7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0" t="s">
        <v>161</v>
      </c>
      <c r="B4" s="311"/>
      <c r="C4" s="88">
        <v>75000</v>
      </c>
      <c r="D4" s="88"/>
      <c r="E4" s="100"/>
      <c r="F4" s="88"/>
      <c r="G4" s="180"/>
      <c r="H4" s="6">
        <v>75000</v>
      </c>
      <c r="I4" s="9"/>
      <c r="J4" s="6">
        <v>75000</v>
      </c>
      <c r="K4" s="6"/>
      <c r="L4" s="19"/>
      <c r="M4" s="19"/>
      <c r="N4" s="6">
        <f t="shared" ref="N4:N17" si="0">SUM(B4:M4)</f>
        <v>225000</v>
      </c>
    </row>
    <row r="5" spans="1:14">
      <c r="A5" s="245"/>
      <c r="B5" s="99"/>
      <c r="C5" s="88"/>
      <c r="D5" s="88"/>
      <c r="E5" s="100"/>
      <c r="F5" s="193"/>
      <c r="G5" s="180"/>
      <c r="H5" s="6">
        <v>110000</v>
      </c>
      <c r="I5" s="9"/>
      <c r="J5" s="6">
        <v>180000</v>
      </c>
      <c r="K5" s="6"/>
      <c r="L5" s="19"/>
      <c r="M5" s="19"/>
      <c r="N5" s="6">
        <f>SUM(B5:M5)</f>
        <v>290000</v>
      </c>
    </row>
    <row r="6" spans="1:14">
      <c r="A6" s="53" t="s">
        <v>213</v>
      </c>
      <c r="B6" s="281"/>
      <c r="C6" s="53"/>
      <c r="D6" s="53"/>
      <c r="E6" s="281">
        <v>10000</v>
      </c>
      <c r="F6" s="242"/>
      <c r="G6" s="243"/>
      <c r="H6" s="242"/>
      <c r="I6" s="243"/>
      <c r="J6" s="242"/>
      <c r="K6" s="242">
        <v>10000</v>
      </c>
      <c r="L6" s="242">
        <v>10000</v>
      </c>
      <c r="M6" s="242"/>
      <c r="N6" s="17">
        <f>SUM(B6:M6)</f>
        <v>30000</v>
      </c>
    </row>
    <row r="7" spans="1:14">
      <c r="A7" s="245"/>
      <c r="B7" s="195"/>
      <c r="C7" s="195"/>
      <c r="D7" s="195"/>
      <c r="E7" s="198"/>
      <c r="F7" s="195"/>
      <c r="G7" s="198"/>
      <c r="H7" s="94"/>
      <c r="I7" s="95"/>
      <c r="J7" s="94"/>
      <c r="K7" s="94"/>
      <c r="L7" s="96"/>
      <c r="M7" s="96"/>
      <c r="N7" s="6">
        <f t="shared" si="0"/>
        <v>0</v>
      </c>
    </row>
    <row r="8" spans="1:14">
      <c r="A8" s="245"/>
      <c r="B8" s="193"/>
      <c r="C8" s="193"/>
      <c r="D8" s="193"/>
      <c r="E8" s="194"/>
      <c r="F8" s="193"/>
      <c r="G8" s="194"/>
      <c r="H8" s="90"/>
      <c r="I8" s="91"/>
      <c r="J8" s="90"/>
      <c r="K8" s="90"/>
      <c r="L8" s="92"/>
      <c r="M8" s="92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185000</v>
      </c>
      <c r="I18" s="224">
        <f t="shared" si="1"/>
        <v>0</v>
      </c>
      <c r="J18" s="224">
        <f t="shared" si="1"/>
        <v>255000</v>
      </c>
      <c r="K18" s="224">
        <f t="shared" si="1"/>
        <v>10000</v>
      </c>
      <c r="L18" s="224">
        <f t="shared" si="1"/>
        <v>10000</v>
      </c>
      <c r="M18" s="224">
        <f t="shared" si="1"/>
        <v>0</v>
      </c>
      <c r="N18" s="224">
        <f t="shared" si="1"/>
        <v>545000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2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A6" sqref="A6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127</v>
      </c>
      <c r="B4" s="295">
        <v>50000</v>
      </c>
      <c r="C4" s="264"/>
      <c r="D4" s="295"/>
      <c r="E4" s="296"/>
      <c r="F4" s="264"/>
      <c r="G4" s="297"/>
      <c r="H4" s="295"/>
      <c r="I4" s="296"/>
      <c r="J4" s="295"/>
      <c r="K4" s="295"/>
      <c r="L4" s="295"/>
      <c r="M4" s="280"/>
      <c r="N4" s="280">
        <f>SUM(B4:M4)</f>
        <v>50000</v>
      </c>
    </row>
    <row r="5" spans="1:14">
      <c r="A5" s="245" t="s">
        <v>137</v>
      </c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>
        <v>6000</v>
      </c>
      <c r="M5" s="96"/>
      <c r="N5" s="6">
        <f t="shared" ref="N5:N16" si="0">SUM(B5:M5)</f>
        <v>6000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6000</v>
      </c>
      <c r="M17" s="224">
        <f t="shared" si="1"/>
        <v>0</v>
      </c>
      <c r="N17" s="224">
        <f t="shared" si="1"/>
        <v>56000</v>
      </c>
    </row>
  </sheetData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91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92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29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2"/>
  <sheetViews>
    <sheetView topLeftCell="A4" zoomScaleNormal="100" workbookViewId="0">
      <selection activeCell="L8" sqref="L8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>
        <v>11000</v>
      </c>
      <c r="I4" s="181">
        <v>11000</v>
      </c>
      <c r="J4" s="93">
        <v>11000</v>
      </c>
      <c r="K4" s="93">
        <v>11000</v>
      </c>
      <c r="L4" s="237">
        <f>11000+11000</f>
        <v>22000</v>
      </c>
      <c r="M4" s="237"/>
      <c r="N4" s="267">
        <f t="shared" ref="N4:N24" si="0">SUM(B4:M4)</f>
        <v>132000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93">
        <v>1867.2</v>
      </c>
      <c r="J5" s="93"/>
      <c r="K5" s="93"/>
      <c r="L5" s="237"/>
      <c r="M5" s="237"/>
      <c r="N5" s="267">
        <f t="shared" si="0"/>
        <v>2774.8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>
        <f>2263.05+2021.08</f>
        <v>4284.13</v>
      </c>
      <c r="M6" s="236"/>
      <c r="N6" s="267">
        <f t="shared" si="0"/>
        <v>10261.529999999999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>
        <v>8000</v>
      </c>
      <c r="I7" s="100">
        <v>8000</v>
      </c>
      <c r="J7" s="99">
        <v>8000</v>
      </c>
      <c r="K7" s="99">
        <v>8000</v>
      </c>
      <c r="L7" s="236">
        <v>9000</v>
      </c>
      <c r="M7" s="236"/>
      <c r="N7" s="267">
        <f t="shared" si="0"/>
        <v>89000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>
        <v>13334.55</v>
      </c>
      <c r="I8" s="93">
        <v>2488.98</v>
      </c>
      <c r="J8" s="93">
        <v>5144.1099999999997</v>
      </c>
      <c r="K8" s="93">
        <v>7022.45</v>
      </c>
      <c r="L8" s="93">
        <v>5272.27</v>
      </c>
      <c r="M8" s="237"/>
      <c r="N8" s="267">
        <f t="shared" si="0"/>
        <v>74778.720000000016</v>
      </c>
    </row>
    <row r="9" spans="1:14">
      <c r="A9" s="272" t="s">
        <v>129</v>
      </c>
      <c r="B9" s="99">
        <v>800</v>
      </c>
      <c r="C9" s="99"/>
      <c r="D9" s="99">
        <v>600</v>
      </c>
      <c r="E9" s="100">
        <v>600</v>
      </c>
      <c r="F9" s="99"/>
      <c r="G9" s="100"/>
      <c r="H9" s="99">
        <v>800</v>
      </c>
      <c r="I9" s="100"/>
      <c r="J9" s="99">
        <v>920</v>
      </c>
      <c r="K9" s="99"/>
      <c r="L9" s="236">
        <v>690</v>
      </c>
      <c r="M9" s="236"/>
      <c r="N9" s="267">
        <f t="shared" si="0"/>
        <v>4410</v>
      </c>
    </row>
    <row r="10" spans="1:14">
      <c r="A10" s="3" t="s">
        <v>130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>
        <v>4952.32</v>
      </c>
      <c r="I10" s="181">
        <f>177+2407+294</f>
        <v>2878</v>
      </c>
      <c r="J10" s="93">
        <v>3090.85</v>
      </c>
      <c r="K10" s="93">
        <f>2245+2245+3035.03</f>
        <v>7525.0300000000007</v>
      </c>
      <c r="L10" s="237"/>
      <c r="M10" s="237"/>
      <c r="N10" s="267">
        <f t="shared" si="0"/>
        <v>32294.080000000002</v>
      </c>
    </row>
    <row r="11" spans="1:14">
      <c r="A11" s="3" t="s">
        <v>136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137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138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139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>
        <f>278+53</f>
        <v>331</v>
      </c>
      <c r="L14" s="236"/>
      <c r="M14" s="236"/>
      <c r="N14" s="267">
        <f t="shared" si="0"/>
        <v>1519.5</v>
      </c>
    </row>
    <row r="15" spans="1:14">
      <c r="A15" s="3" t="s">
        <v>140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152</v>
      </c>
      <c r="B16" s="99">
        <v>2559</v>
      </c>
      <c r="C16" s="99"/>
      <c r="D16" s="99"/>
      <c r="E16" s="277"/>
      <c r="F16" s="99"/>
      <c r="G16" s="100"/>
      <c r="H16" s="99">
        <v>93415.35</v>
      </c>
      <c r="I16" s="100"/>
      <c r="J16" s="99"/>
      <c r="K16" s="99"/>
      <c r="L16" s="236"/>
      <c r="M16" s="236"/>
      <c r="N16" s="267">
        <f t="shared" si="0"/>
        <v>95974.35</v>
      </c>
    </row>
    <row r="17" spans="1:14">
      <c r="A17" s="214" t="s">
        <v>153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154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248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>
        <f>1550+1500</f>
        <v>3050</v>
      </c>
      <c r="I19" s="181">
        <v>1800</v>
      </c>
      <c r="J19" s="93"/>
      <c r="K19" s="93">
        <v>6000</v>
      </c>
      <c r="L19" s="237"/>
      <c r="M19" s="237"/>
      <c r="N19" s="267">
        <f t="shared" si="0"/>
        <v>34800</v>
      </c>
    </row>
    <row r="20" spans="1:14">
      <c r="A20" s="11" t="s">
        <v>160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>
        <v>10702</v>
      </c>
      <c r="L20" s="236">
        <v>8429</v>
      </c>
      <c r="M20" s="236"/>
      <c r="N20" s="267">
        <f t="shared" si="0"/>
        <v>49329</v>
      </c>
    </row>
    <row r="21" spans="1:14">
      <c r="A21" s="11" t="s">
        <v>166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167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168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169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192</v>
      </c>
      <c r="B25" s="281"/>
      <c r="C25" s="281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199</v>
      </c>
      <c r="B26" s="281"/>
      <c r="C26" s="281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212</v>
      </c>
      <c r="B27" s="281"/>
      <c r="C27" s="281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215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229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178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258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230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231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232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233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243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244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260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261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80" si="2">SUM(B39:M39)</f>
        <v>1900</v>
      </c>
    </row>
    <row r="40" spans="1:14">
      <c r="A40" s="215" t="s">
        <v>262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273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278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279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280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281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289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296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307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313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308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 t="s">
        <v>314</v>
      </c>
      <c r="B51" s="93"/>
      <c r="C51" s="93"/>
      <c r="D51" s="93"/>
      <c r="E51" s="264"/>
      <c r="F51" s="93"/>
      <c r="G51" s="181"/>
      <c r="H51" s="93">
        <v>15000</v>
      </c>
      <c r="I51" s="93"/>
      <c r="J51" s="93"/>
      <c r="K51" s="93"/>
      <c r="L51" s="237"/>
      <c r="M51" s="237"/>
      <c r="N51" s="267">
        <f t="shared" si="2"/>
        <v>15000</v>
      </c>
    </row>
    <row r="52" spans="1:14">
      <c r="A52" s="3" t="s">
        <v>315</v>
      </c>
      <c r="B52" s="93"/>
      <c r="C52" s="93"/>
      <c r="D52" s="93"/>
      <c r="E52" s="264"/>
      <c r="F52" s="93"/>
      <c r="G52" s="181"/>
      <c r="H52" s="93">
        <v>5299</v>
      </c>
      <c r="I52" s="93"/>
      <c r="J52" s="93"/>
      <c r="K52" s="93"/>
      <c r="L52" s="237"/>
      <c r="M52" s="93"/>
      <c r="N52" s="267">
        <f t="shared" si="2"/>
        <v>5299</v>
      </c>
    </row>
    <row r="53" spans="1:14">
      <c r="A53" s="3" t="s">
        <v>339</v>
      </c>
      <c r="B53" s="93"/>
      <c r="C53" s="93"/>
      <c r="D53" s="93"/>
      <c r="E53" s="93"/>
      <c r="F53" s="93"/>
      <c r="G53" s="181"/>
      <c r="H53" s="93">
        <v>7582</v>
      </c>
      <c r="I53" s="93"/>
      <c r="J53" s="93"/>
      <c r="K53" s="93"/>
      <c r="L53" s="237"/>
      <c r="M53" s="237"/>
      <c r="N53" s="267">
        <f t="shared" si="2"/>
        <v>7582</v>
      </c>
    </row>
    <row r="54" spans="1:14">
      <c r="A54" s="3" t="s">
        <v>340</v>
      </c>
      <c r="B54" s="93"/>
      <c r="C54" s="93"/>
      <c r="D54" s="93"/>
      <c r="E54" s="93"/>
      <c r="F54" s="93"/>
      <c r="G54" s="181"/>
      <c r="H54" s="93">
        <v>530</v>
      </c>
      <c r="I54" s="93"/>
      <c r="J54" s="93"/>
      <c r="K54" s="93"/>
      <c r="L54" s="237"/>
      <c r="M54" s="237"/>
      <c r="N54" s="267">
        <f t="shared" si="2"/>
        <v>530</v>
      </c>
    </row>
    <row r="55" spans="1:14">
      <c r="A55" s="3" t="s">
        <v>341</v>
      </c>
      <c r="B55" s="93"/>
      <c r="C55" s="93"/>
      <c r="D55" s="93"/>
      <c r="E55" s="93"/>
      <c r="F55" s="93"/>
      <c r="G55" s="181"/>
      <c r="H55" s="93">
        <v>500</v>
      </c>
      <c r="I55" s="93"/>
      <c r="J55" s="93"/>
      <c r="K55" s="93"/>
      <c r="L55" s="237"/>
      <c r="M55" s="237"/>
      <c r="N55" s="267">
        <f t="shared" si="2"/>
        <v>500</v>
      </c>
    </row>
    <row r="56" spans="1:14">
      <c r="A56" s="3" t="s">
        <v>342</v>
      </c>
      <c r="B56" s="93"/>
      <c r="C56" s="93"/>
      <c r="D56" s="93"/>
      <c r="E56" s="93"/>
      <c r="F56" s="93"/>
      <c r="G56" s="181"/>
      <c r="H56" s="93">
        <v>561</v>
      </c>
      <c r="I56" s="93"/>
      <c r="J56" s="93"/>
      <c r="K56" s="93"/>
      <c r="L56" s="237"/>
      <c r="M56" s="237"/>
      <c r="N56" s="267">
        <f t="shared" si="2"/>
        <v>561</v>
      </c>
    </row>
    <row r="57" spans="1:14">
      <c r="A57" s="3" t="s">
        <v>261</v>
      </c>
      <c r="B57" s="93"/>
      <c r="C57" s="93"/>
      <c r="D57" s="93"/>
      <c r="E57" s="93"/>
      <c r="F57" s="93"/>
      <c r="G57" s="181"/>
      <c r="H57" s="93">
        <v>350</v>
      </c>
      <c r="I57" s="93"/>
      <c r="J57" s="93"/>
      <c r="K57" s="93"/>
      <c r="L57" s="237"/>
      <c r="M57" s="237"/>
      <c r="N57" s="267">
        <f t="shared" si="2"/>
        <v>350</v>
      </c>
    </row>
    <row r="58" spans="1:14">
      <c r="A58" s="3" t="s">
        <v>343</v>
      </c>
      <c r="B58" s="93"/>
      <c r="C58" s="93"/>
      <c r="D58" s="93"/>
      <c r="E58" s="93"/>
      <c r="F58" s="93"/>
      <c r="G58" s="181"/>
      <c r="H58" s="93">
        <v>700</v>
      </c>
      <c r="I58" s="93"/>
      <c r="J58" s="93"/>
      <c r="K58" s="93"/>
      <c r="L58" s="237"/>
      <c r="M58" s="237"/>
      <c r="N58" s="267">
        <f t="shared" si="2"/>
        <v>700</v>
      </c>
    </row>
    <row r="59" spans="1:14">
      <c r="A59" s="3" t="s">
        <v>344</v>
      </c>
      <c r="B59" s="93"/>
      <c r="C59" s="93"/>
      <c r="D59" s="93"/>
      <c r="E59" s="93"/>
      <c r="F59" s="93"/>
      <c r="G59" s="181"/>
      <c r="H59" s="93">
        <v>1340</v>
      </c>
      <c r="I59" s="93"/>
      <c r="J59" s="93"/>
      <c r="K59" s="93"/>
      <c r="L59" s="237"/>
      <c r="M59" s="237"/>
      <c r="N59" s="267">
        <f t="shared" si="2"/>
        <v>1340</v>
      </c>
    </row>
    <row r="60" spans="1:14">
      <c r="A60" s="3" t="s">
        <v>345</v>
      </c>
      <c r="B60" s="93"/>
      <c r="C60" s="93"/>
      <c r="D60" s="93"/>
      <c r="E60" s="264"/>
      <c r="F60" s="93"/>
      <c r="G60" s="181"/>
      <c r="H60" s="93">
        <v>1500</v>
      </c>
      <c r="I60" s="93"/>
      <c r="J60" s="93"/>
      <c r="K60" s="93"/>
      <c r="L60" s="237"/>
      <c r="M60" s="237"/>
      <c r="N60" s="267">
        <f t="shared" si="2"/>
        <v>1500</v>
      </c>
    </row>
    <row r="61" spans="1:14">
      <c r="A61" s="3" t="s">
        <v>346</v>
      </c>
      <c r="B61" s="93"/>
      <c r="C61" s="93"/>
      <c r="D61" s="93"/>
      <c r="E61" s="264"/>
      <c r="F61" s="93"/>
      <c r="G61" s="181"/>
      <c r="H61" s="93">
        <v>700</v>
      </c>
      <c r="I61" s="93"/>
      <c r="J61" s="93"/>
      <c r="K61" s="93"/>
      <c r="L61" s="237"/>
      <c r="M61" s="237"/>
      <c r="N61" s="267">
        <f t="shared" si="2"/>
        <v>700</v>
      </c>
    </row>
    <row r="62" spans="1:14">
      <c r="A62" s="3" t="s">
        <v>347</v>
      </c>
      <c r="B62" s="93"/>
      <c r="C62" s="93"/>
      <c r="D62" s="93"/>
      <c r="E62" s="264"/>
      <c r="F62" s="93"/>
      <c r="G62" s="181"/>
      <c r="H62" s="93">
        <v>240</v>
      </c>
      <c r="I62" s="93"/>
      <c r="J62" s="93"/>
      <c r="K62" s="93"/>
      <c r="L62" s="237"/>
      <c r="M62" s="237"/>
      <c r="N62" s="267">
        <f t="shared" si="2"/>
        <v>240</v>
      </c>
    </row>
    <row r="63" spans="1:14">
      <c r="A63" s="3" t="s">
        <v>348</v>
      </c>
      <c r="B63" s="93"/>
      <c r="C63" s="93"/>
      <c r="D63" s="93"/>
      <c r="E63" s="264"/>
      <c r="F63" s="93"/>
      <c r="G63" s="181"/>
      <c r="H63" s="93">
        <v>260</v>
      </c>
      <c r="I63" s="93"/>
      <c r="J63" s="93"/>
      <c r="K63" s="93"/>
      <c r="L63" s="237"/>
      <c r="M63" s="237"/>
      <c r="N63" s="267">
        <f t="shared" si="2"/>
        <v>260</v>
      </c>
    </row>
    <row r="64" spans="1:14">
      <c r="A64" s="3" t="s">
        <v>349</v>
      </c>
      <c r="B64" s="93"/>
      <c r="C64" s="93"/>
      <c r="D64" s="93"/>
      <c r="E64" s="264"/>
      <c r="F64" s="93"/>
      <c r="G64" s="181"/>
      <c r="H64" s="93">
        <v>800</v>
      </c>
      <c r="I64" s="93"/>
      <c r="J64" s="93"/>
      <c r="K64" s="93"/>
      <c r="L64" s="237"/>
      <c r="M64" s="237"/>
      <c r="N64" s="267">
        <f t="shared" si="2"/>
        <v>800</v>
      </c>
    </row>
    <row r="65" spans="1:14">
      <c r="A65" s="3" t="s">
        <v>350</v>
      </c>
      <c r="B65" s="93"/>
      <c r="C65" s="93"/>
      <c r="D65" s="93"/>
      <c r="E65" s="264"/>
      <c r="F65" s="93"/>
      <c r="G65" s="181"/>
      <c r="H65" s="93">
        <v>1500</v>
      </c>
      <c r="I65" s="93"/>
      <c r="J65" s="93"/>
      <c r="K65" s="93"/>
      <c r="L65" s="237"/>
      <c r="M65" s="237"/>
      <c r="N65" s="267">
        <f t="shared" si="2"/>
        <v>1500</v>
      </c>
    </row>
    <row r="66" spans="1:14">
      <c r="A66" s="3" t="s">
        <v>368</v>
      </c>
      <c r="B66" s="93"/>
      <c r="C66" s="93"/>
      <c r="D66" s="93"/>
      <c r="E66" s="264"/>
      <c r="F66" s="93"/>
      <c r="G66" s="181"/>
      <c r="H66" s="93"/>
      <c r="I66" s="93">
        <f>10500+12690</f>
        <v>23190</v>
      </c>
      <c r="J66" s="93"/>
      <c r="K66" s="93">
        <f>5700+5300</f>
        <v>11000</v>
      </c>
      <c r="L66" s="237"/>
      <c r="M66" s="237"/>
      <c r="N66" s="267">
        <f t="shared" si="2"/>
        <v>34190</v>
      </c>
    </row>
    <row r="67" spans="1:14">
      <c r="A67" s="3" t="s">
        <v>371</v>
      </c>
      <c r="B67" s="93"/>
      <c r="C67" s="93"/>
      <c r="D67" s="93"/>
      <c r="E67" s="264"/>
      <c r="F67" s="93"/>
      <c r="G67" s="181"/>
      <c r="H67" s="93"/>
      <c r="I67" s="93">
        <f>165+840</f>
        <v>1005</v>
      </c>
      <c r="J67" s="93"/>
      <c r="K67" s="93"/>
      <c r="L67" s="237"/>
      <c r="M67" s="237"/>
      <c r="N67" s="267">
        <f t="shared" si="2"/>
        <v>1005</v>
      </c>
    </row>
    <row r="68" spans="1:14">
      <c r="A68" s="3" t="s">
        <v>375</v>
      </c>
      <c r="B68" s="93"/>
      <c r="C68" s="93"/>
      <c r="D68" s="93"/>
      <c r="E68" s="264"/>
      <c r="F68" s="93"/>
      <c r="G68" s="181"/>
      <c r="H68" s="93"/>
      <c r="I68" s="93">
        <v>310</v>
      </c>
      <c r="J68" s="93"/>
      <c r="K68" s="93"/>
      <c r="L68" s="237"/>
      <c r="M68" s="237"/>
      <c r="N68" s="267">
        <f t="shared" si="2"/>
        <v>310</v>
      </c>
    </row>
    <row r="69" spans="1:14">
      <c r="A69" s="3" t="s">
        <v>376</v>
      </c>
      <c r="B69" s="93"/>
      <c r="C69" s="93"/>
      <c r="D69" s="93"/>
      <c r="E69" s="93"/>
      <c r="F69" s="93"/>
      <c r="G69" s="181"/>
      <c r="H69" s="93"/>
      <c r="I69" s="93">
        <v>2950</v>
      </c>
      <c r="J69" s="93"/>
      <c r="K69" s="93"/>
      <c r="L69" s="237"/>
      <c r="M69" s="237"/>
      <c r="N69" s="267">
        <f t="shared" si="2"/>
        <v>2950</v>
      </c>
    </row>
    <row r="70" spans="1:14">
      <c r="A70" s="3" t="s">
        <v>377</v>
      </c>
      <c r="B70" s="99"/>
      <c r="C70" s="99"/>
      <c r="D70" s="99"/>
      <c r="E70" s="278"/>
      <c r="F70" s="99"/>
      <c r="G70" s="99"/>
      <c r="H70" s="99"/>
      <c r="I70" s="99">
        <v>2485</v>
      </c>
      <c r="J70" s="99"/>
      <c r="K70" s="99"/>
      <c r="L70" s="236"/>
      <c r="M70" s="236"/>
      <c r="N70" s="267">
        <f>SUM(B70:M70)</f>
        <v>2485</v>
      </c>
    </row>
    <row r="71" spans="1:14">
      <c r="A71" s="3" t="s">
        <v>390</v>
      </c>
      <c r="B71" s="99"/>
      <c r="C71" s="99"/>
      <c r="D71" s="99"/>
      <c r="E71" s="278"/>
      <c r="F71" s="99"/>
      <c r="G71" s="99"/>
      <c r="H71" s="99"/>
      <c r="I71" s="99"/>
      <c r="J71" s="99">
        <v>2500</v>
      </c>
      <c r="K71" s="99"/>
      <c r="L71" s="236"/>
      <c r="M71" s="236"/>
      <c r="N71" s="267">
        <f t="shared" ref="N71:N79" si="3">SUM(B71:M71)</f>
        <v>2500</v>
      </c>
    </row>
    <row r="72" spans="1:14">
      <c r="A72" s="3" t="s">
        <v>391</v>
      </c>
      <c r="B72" s="99"/>
      <c r="C72" s="99"/>
      <c r="D72" s="99"/>
      <c r="E72" s="278"/>
      <c r="F72" s="99"/>
      <c r="G72" s="99"/>
      <c r="H72" s="99"/>
      <c r="I72" s="99"/>
      <c r="J72" s="99">
        <v>150</v>
      </c>
      <c r="K72" s="99"/>
      <c r="L72" s="236"/>
      <c r="M72" s="236"/>
      <c r="N72" s="267">
        <f t="shared" si="3"/>
        <v>150</v>
      </c>
    </row>
    <row r="73" spans="1:14">
      <c r="A73" s="3" t="s">
        <v>392</v>
      </c>
      <c r="B73" s="99"/>
      <c r="C73" s="99"/>
      <c r="D73" s="99"/>
      <c r="E73" s="278"/>
      <c r="F73" s="99"/>
      <c r="G73" s="99"/>
      <c r="H73" s="99"/>
      <c r="I73" s="99"/>
      <c r="J73" s="99">
        <v>500</v>
      </c>
      <c r="K73" s="99"/>
      <c r="L73" s="236"/>
      <c r="M73" s="236"/>
      <c r="N73" s="267">
        <f t="shared" si="3"/>
        <v>500</v>
      </c>
    </row>
    <row r="74" spans="1:14">
      <c r="A74" s="3" t="s">
        <v>398</v>
      </c>
      <c r="B74" s="99"/>
      <c r="C74" s="99"/>
      <c r="D74" s="99"/>
      <c r="E74" s="278"/>
      <c r="F74" s="99"/>
      <c r="G74" s="99"/>
      <c r="H74" s="99"/>
      <c r="I74" s="99"/>
      <c r="J74" s="99"/>
      <c r="K74" s="99">
        <v>5238.1899999999996</v>
      </c>
      <c r="L74" s="236"/>
      <c r="M74" s="236"/>
      <c r="N74" s="267">
        <f t="shared" si="3"/>
        <v>5238.1899999999996</v>
      </c>
    </row>
    <row r="75" spans="1:14">
      <c r="A75" s="3" t="s">
        <v>399</v>
      </c>
      <c r="B75" s="99"/>
      <c r="C75" s="99"/>
      <c r="D75" s="99"/>
      <c r="E75" s="278"/>
      <c r="F75" s="99"/>
      <c r="G75" s="99"/>
      <c r="H75" s="99"/>
      <c r="I75" s="99"/>
      <c r="J75" s="99"/>
      <c r="K75" s="99">
        <v>1800</v>
      </c>
      <c r="L75" s="236"/>
      <c r="M75" s="236"/>
      <c r="N75" s="267">
        <f t="shared" si="3"/>
        <v>1800</v>
      </c>
    </row>
    <row r="76" spans="1:14">
      <c r="A76" s="3" t="s">
        <v>400</v>
      </c>
      <c r="B76" s="99"/>
      <c r="C76" s="99"/>
      <c r="D76" s="99"/>
      <c r="E76" s="278"/>
      <c r="F76" s="99"/>
      <c r="G76" s="99"/>
      <c r="H76" s="99"/>
      <c r="I76" s="99"/>
      <c r="J76" s="99"/>
      <c r="K76" s="99">
        <v>8060</v>
      </c>
      <c r="L76" s="236"/>
      <c r="M76" s="236"/>
      <c r="N76" s="267">
        <f t="shared" si="3"/>
        <v>8060</v>
      </c>
    </row>
    <row r="77" spans="1:14">
      <c r="A77" s="3" t="s">
        <v>408</v>
      </c>
      <c r="B77" s="99"/>
      <c r="C77" s="99"/>
      <c r="D77" s="99"/>
      <c r="E77" s="278"/>
      <c r="F77" s="99"/>
      <c r="G77" s="99"/>
      <c r="H77" s="99"/>
      <c r="I77" s="99"/>
      <c r="J77" s="99"/>
      <c r="K77" s="99">
        <f>7056+740</f>
        <v>7796</v>
      </c>
      <c r="L77" s="236"/>
      <c r="M77" s="236"/>
      <c r="N77" s="267">
        <f t="shared" si="3"/>
        <v>7796</v>
      </c>
    </row>
    <row r="78" spans="1:14">
      <c r="A78" s="3" t="s">
        <v>411</v>
      </c>
      <c r="B78" s="99"/>
      <c r="C78" s="99"/>
      <c r="D78" s="99"/>
      <c r="E78" s="278"/>
      <c r="F78" s="99"/>
      <c r="G78" s="99"/>
      <c r="H78" s="99"/>
      <c r="I78" s="99"/>
      <c r="J78" s="99"/>
      <c r="K78" s="99">
        <v>994</v>
      </c>
      <c r="L78" s="236"/>
      <c r="M78" s="236"/>
      <c r="N78" s="267">
        <f t="shared" si="3"/>
        <v>994</v>
      </c>
    </row>
    <row r="79" spans="1:14">
      <c r="A79" s="3"/>
      <c r="B79" s="99"/>
      <c r="C79" s="99"/>
      <c r="D79" s="99"/>
      <c r="E79" s="278"/>
      <c r="F79" s="99"/>
      <c r="G79" s="99"/>
      <c r="H79" s="99"/>
      <c r="I79" s="99"/>
      <c r="J79" s="99"/>
      <c r="K79" s="99"/>
      <c r="L79" s="236"/>
      <c r="M79" s="236"/>
      <c r="N79" s="267">
        <f t="shared" si="3"/>
        <v>0</v>
      </c>
    </row>
    <row r="80" spans="1:14">
      <c r="A80" s="53"/>
      <c r="B80" s="281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67">
        <f t="shared" si="2"/>
        <v>0</v>
      </c>
    </row>
    <row r="81" spans="1:14">
      <c r="A81" s="5" t="s">
        <v>14</v>
      </c>
      <c r="B81" s="224">
        <f t="shared" ref="B81:N81" si="4">SUM(B1:B80)</f>
        <v>56778.21</v>
      </c>
      <c r="C81" s="224">
        <f t="shared" si="4"/>
        <v>49870.3</v>
      </c>
      <c r="D81" s="224">
        <f t="shared" si="4"/>
        <v>35441.550000000003</v>
      </c>
      <c r="E81" s="224">
        <f t="shared" si="4"/>
        <v>45274.54</v>
      </c>
      <c r="F81" s="224">
        <f t="shared" si="4"/>
        <v>101937.84</v>
      </c>
      <c r="G81" s="224">
        <f t="shared" si="4"/>
        <v>47317.020000000004</v>
      </c>
      <c r="H81" s="224">
        <f t="shared" si="4"/>
        <v>171414.22</v>
      </c>
      <c r="I81" s="224">
        <f t="shared" si="4"/>
        <v>57974.18</v>
      </c>
      <c r="J81" s="224">
        <f t="shared" si="4"/>
        <v>31304.959999999999</v>
      </c>
      <c r="K81" s="224">
        <f t="shared" si="4"/>
        <v>85468.67</v>
      </c>
      <c r="L81" s="224">
        <f t="shared" si="4"/>
        <v>49675.400000000009</v>
      </c>
      <c r="M81" s="224">
        <f t="shared" si="4"/>
        <v>0</v>
      </c>
      <c r="N81" s="268">
        <f t="shared" si="4"/>
        <v>732456.8899999999</v>
      </c>
    </row>
    <row r="82" spans="1:14">
      <c r="N82" s="269">
        <f>SUM(B81:M81)-N81</f>
        <v>0</v>
      </c>
    </row>
  </sheetData>
  <phoneticPr fontId="29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J5" sqref="J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157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>
        <v>1190</v>
      </c>
      <c r="I4" s="93"/>
      <c r="J4" s="93">
        <v>4908</v>
      </c>
      <c r="K4" s="93"/>
      <c r="L4" s="237"/>
      <c r="M4" s="237"/>
      <c r="N4" s="29">
        <f t="shared" si="0"/>
        <v>20768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1190</v>
      </c>
      <c r="I10" s="230">
        <f t="shared" si="1"/>
        <v>0</v>
      </c>
      <c r="J10" s="230">
        <f t="shared" si="1"/>
        <v>4908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35962</v>
      </c>
    </row>
    <row r="12" spans="1:14">
      <c r="N12" s="234">
        <f>SUM(B10:M10)-N10</f>
        <v>0</v>
      </c>
    </row>
  </sheetData>
  <phoneticPr fontId="29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L7" sqref="L7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156</v>
      </c>
      <c r="B3" s="29"/>
      <c r="C3" s="29">
        <v>2000</v>
      </c>
      <c r="D3" s="29"/>
      <c r="E3" s="28"/>
      <c r="F3" s="29"/>
      <c r="G3" s="28"/>
      <c r="H3" s="29"/>
      <c r="I3" s="28">
        <v>1500</v>
      </c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>
        <v>2000</v>
      </c>
      <c r="I4" s="93">
        <v>2000</v>
      </c>
      <c r="J4" s="93">
        <v>2000</v>
      </c>
      <c r="K4" s="93">
        <v>2000</v>
      </c>
      <c r="L4" s="93"/>
      <c r="M4" s="93"/>
      <c r="N4" s="32">
        <f>SUM(B4:M4)</f>
        <v>20000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>
        <v>5000</v>
      </c>
      <c r="I5" s="93">
        <v>7000</v>
      </c>
      <c r="J5" s="93">
        <f>10000+10000</f>
        <v>20000</v>
      </c>
      <c r="K5" s="93">
        <v>10000</v>
      </c>
      <c r="L5" s="237">
        <f>10000+10000</f>
        <v>20000</v>
      </c>
      <c r="M5" s="237"/>
      <c r="N5" s="32">
        <f>SUM(B5:M5)</f>
        <v>112195.7</v>
      </c>
    </row>
    <row r="6" spans="1:14">
      <c r="A6" s="190" t="s">
        <v>246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>
        <v>1000</v>
      </c>
      <c r="I6" s="93">
        <v>2000</v>
      </c>
      <c r="J6" s="93">
        <v>1000</v>
      </c>
      <c r="K6" s="93">
        <v>1000</v>
      </c>
      <c r="L6" s="237">
        <f>1000+1000</f>
        <v>2000</v>
      </c>
      <c r="M6" s="237"/>
      <c r="N6" s="32">
        <f>SUM(B6:M6)</f>
        <v>10450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8000</v>
      </c>
      <c r="I7" s="230">
        <f t="shared" si="0"/>
        <v>11000</v>
      </c>
      <c r="J7" s="230">
        <f t="shared" si="0"/>
        <v>23000</v>
      </c>
      <c r="K7" s="230">
        <f t="shared" si="0"/>
        <v>13000</v>
      </c>
      <c r="L7" s="230">
        <f t="shared" si="0"/>
        <v>22000</v>
      </c>
      <c r="M7" s="230">
        <f t="shared" si="0"/>
        <v>0</v>
      </c>
      <c r="N7" s="231">
        <f>SUM(N4:N6)</f>
        <v>142645.70000000001</v>
      </c>
    </row>
    <row r="9" spans="1:14">
      <c r="N9" s="234">
        <f>SUM(B7:M7)-N7</f>
        <v>0</v>
      </c>
    </row>
  </sheetData>
  <phoneticPr fontId="29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L4" sqref="L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0" t="s">
        <v>4</v>
      </c>
      <c r="F2" s="32" t="s">
        <v>5</v>
      </c>
      <c r="G2" s="330" t="s">
        <v>6</v>
      </c>
      <c r="H2" s="32" t="s">
        <v>7</v>
      </c>
      <c r="I2" s="330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>
        <f ca="1">26630+16000+6370+37600+25850+26875+21875+54358+32000+11000+14000+41392.18+37600+19450+19943.17+36543.18+119921+157384.46+71384-'премиальный фонд'!H4</f>
        <v>708681.39</v>
      </c>
      <c r="I3" s="180">
        <f>16000+32000+22000+14800+60507.94-33718.28+3664+10000+85860+19300+5102.1</f>
        <v>235515.76</v>
      </c>
      <c r="J3" s="88">
        <f>51139.67+37600+25850+47497.99+69159+32000+22000+14800+5000+5000+2621.54-105000</f>
        <v>207668.2</v>
      </c>
      <c r="K3" s="88">
        <f>520+37602+23695.26+27906.53+2250+70965+32000+22000+14800+1740+30498.84+160796.27+1740+19300+125860+14800-29947.37</f>
        <v>556526.53</v>
      </c>
      <c r="L3" s="88">
        <f ca="1">37600+25850+36597.45+75318+8124+32000+11000+14800+2000+170602.5+55104.1+49000+55371.68+79000+34100+50000-'премиальный фонд'!L4</f>
        <v>699018.87</v>
      </c>
      <c r="M3" s="197"/>
      <c r="N3" s="186">
        <f>SUM(B3:M3)</f>
        <v>5589805.9400000004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>
        <f>1415.25+1821.18</f>
        <v>3236.4300000000003</v>
      </c>
      <c r="I4" s="180">
        <v>33718.28</v>
      </c>
      <c r="J4" s="180">
        <v>1648</v>
      </c>
      <c r="K4" s="180"/>
      <c r="L4" s="88">
        <f>1300+8613.4+9366.4</f>
        <v>19279.8</v>
      </c>
      <c r="M4" s="196"/>
      <c r="N4" s="186">
        <f>SUM(B4:M4)</f>
        <v>225889.27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>
        <v>30000</v>
      </c>
      <c r="I5" s="191">
        <v>30000</v>
      </c>
      <c r="J5" s="190">
        <v>30000</v>
      </c>
      <c r="K5" s="190">
        <v>30000</v>
      </c>
      <c r="L5" s="196">
        <f>30000+30000</f>
        <v>60000</v>
      </c>
      <c r="M5" s="196"/>
      <c r="N5" s="186">
        <f>SUM(B5:M5)</f>
        <v>360000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741917.82000000007</v>
      </c>
      <c r="I6" s="225">
        <f t="shared" si="0"/>
        <v>299234.04000000004</v>
      </c>
      <c r="J6" s="225">
        <f t="shared" si="0"/>
        <v>239316.2</v>
      </c>
      <c r="K6" s="225">
        <f t="shared" si="0"/>
        <v>586526.53</v>
      </c>
      <c r="L6" s="225">
        <f t="shared" si="0"/>
        <v>778298.67</v>
      </c>
      <c r="M6" s="225">
        <f t="shared" si="0"/>
        <v>0</v>
      </c>
      <c r="N6" s="225">
        <f>SUM(N3:N5)</f>
        <v>6175695.21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4" customFormat="1" ht="15.75">
      <c r="A10" s="98"/>
      <c r="B10" s="98"/>
      <c r="C10" s="323"/>
      <c r="E10" s="98"/>
      <c r="F10" s="98"/>
      <c r="G10" s="98"/>
      <c r="H10" s="98"/>
      <c r="I10" s="98"/>
      <c r="J10" s="98"/>
      <c r="K10" s="98"/>
      <c r="M10" s="327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29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L5" sqref="L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>
        <f>6480+7480+7480+5000+5000+44529</f>
        <v>75969</v>
      </c>
      <c r="I3" s="93"/>
      <c r="J3" s="93">
        <v>38750</v>
      </c>
      <c r="K3" s="93">
        <f>5000+5000+5000</f>
        <v>15000</v>
      </c>
      <c r="L3" s="93"/>
      <c r="M3" s="93"/>
      <c r="N3" s="32">
        <f>SUM(B3:M3)</f>
        <v>129719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>
        <f>18612.5+48882.1</f>
        <v>67494.600000000006</v>
      </c>
      <c r="I4" s="93"/>
      <c r="J4" s="93">
        <v>105000</v>
      </c>
      <c r="K4" s="93">
        <v>29947.37</v>
      </c>
      <c r="L4" s="93">
        <v>37448.86</v>
      </c>
      <c r="M4" s="93"/>
      <c r="N4" s="32">
        <f>SUM(B4:M4)</f>
        <v>364381.36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143463.6</v>
      </c>
      <c r="I5" s="224">
        <f t="shared" si="0"/>
        <v>0</v>
      </c>
      <c r="J5" s="224">
        <f t="shared" si="0"/>
        <v>143750</v>
      </c>
      <c r="K5" s="224">
        <f t="shared" si="0"/>
        <v>44947.369999999995</v>
      </c>
      <c r="L5" s="224">
        <f t="shared" si="0"/>
        <v>37448.86</v>
      </c>
      <c r="M5" s="224">
        <f t="shared" si="0"/>
        <v>0</v>
      </c>
      <c r="N5" s="224">
        <f>SUM(N3:N4)</f>
        <v>494100.36</v>
      </c>
    </row>
    <row r="6" spans="1:14" ht="60">
      <c r="H6" s="348" t="s">
        <v>363</v>
      </c>
    </row>
    <row r="7" spans="1:14">
      <c r="N7" s="234">
        <f>SUM(B5:M5)-N5</f>
        <v>0</v>
      </c>
    </row>
    <row r="8" spans="1:14">
      <c r="A8" s="325"/>
    </row>
  </sheetData>
  <phoneticPr fontId="29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L4" sqref="L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>
        <f>138260.95+16261.47+1256.93+22946.31+128565.31+14104.76+1168.78+23169.25</f>
        <v>345733.76</v>
      </c>
      <c r="I3" s="190"/>
      <c r="J3" s="190">
        <f>150010.03+17643.52+1363.72+24897.12+246</f>
        <v>194160.38999999998</v>
      </c>
      <c r="K3" s="190">
        <f>129783.92+15811.82+1179.85+24077.33+1740</f>
        <v>172592.91999999998</v>
      </c>
      <c r="L3" s="190">
        <f>142838.76+17578.89+1298.54+27317.74</f>
        <v>189033.93000000002</v>
      </c>
      <c r="M3" s="190"/>
      <c r="N3" s="6">
        <f>SUM(B3:M3)</f>
        <v>1948371.9399999997</v>
      </c>
    </row>
    <row r="4" spans="1:14">
      <c r="A4" s="190" t="s">
        <v>118</v>
      </c>
      <c r="B4" s="190"/>
      <c r="C4" s="190"/>
      <c r="D4" s="190"/>
      <c r="E4" s="190"/>
      <c r="F4" s="190"/>
      <c r="G4" s="190"/>
      <c r="H4" s="190">
        <v>4520.01</v>
      </c>
      <c r="I4" s="190"/>
      <c r="J4" s="190"/>
      <c r="K4" s="190"/>
      <c r="L4" s="190"/>
      <c r="M4" s="190"/>
      <c r="N4" s="6">
        <f>SUM(B4:M4)</f>
        <v>4520.01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>
        <f>6.06+460.62</f>
        <v>466.68</v>
      </c>
      <c r="K5" s="190"/>
      <c r="L5" s="190"/>
      <c r="M5" s="196"/>
      <c r="N5" s="6">
        <f>SUM(B5:M5)</f>
        <v>1466.68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350253.77</v>
      </c>
      <c r="I6" s="225">
        <f t="shared" si="0"/>
        <v>0</v>
      </c>
      <c r="J6" s="225">
        <f t="shared" si="0"/>
        <v>194627.06999999998</v>
      </c>
      <c r="K6" s="225">
        <f t="shared" si="0"/>
        <v>172592.91999999998</v>
      </c>
      <c r="L6" s="225">
        <f t="shared" si="0"/>
        <v>189033.93000000002</v>
      </c>
      <c r="M6" s="225">
        <f t="shared" si="0"/>
        <v>0</v>
      </c>
      <c r="N6" s="225">
        <f t="shared" si="0"/>
        <v>1954358.6299999997</v>
      </c>
    </row>
    <row r="8" spans="1:14">
      <c r="N8" s="234">
        <f>SUM(B6:M6)-N6</f>
        <v>0</v>
      </c>
    </row>
    <row r="9" spans="1:14" ht="15.75" hidden="1">
      <c r="A9" s="395"/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</row>
    <row r="10" spans="1:14" ht="15.75" hidden="1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93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4"/>
    </row>
    <row r="14" spans="1:14" hidden="1"/>
  </sheetData>
  <mergeCells count="3">
    <mergeCell ref="A13:L13"/>
    <mergeCell ref="A9:L9"/>
    <mergeCell ref="A10:L10"/>
  </mergeCells>
  <phoneticPr fontId="29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2022-05-15T06:40:46Z</dcterms:modified>
</cp:coreProperties>
</file>