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расходы'!$A$1:$A$105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2" l="1"/>
  <c r="I3" i="7" l="1"/>
  <c r="H3" i="7"/>
  <c r="K55" i="2"/>
  <c r="K22" i="2"/>
  <c r="L22" i="2"/>
  <c r="M22" i="2"/>
  <c r="N22" i="2"/>
  <c r="O22" i="2"/>
  <c r="N3" i="12"/>
  <c r="I3" i="17"/>
  <c r="N49" i="15"/>
  <c r="N50" i="15"/>
  <c r="N51" i="15"/>
  <c r="N52" i="15"/>
  <c r="N53" i="15"/>
  <c r="N54" i="15"/>
  <c r="N55" i="15"/>
  <c r="I10" i="4"/>
  <c r="N50" i="16"/>
  <c r="N51" i="16"/>
  <c r="N52" i="16"/>
  <c r="N53" i="16"/>
  <c r="N54" i="16"/>
  <c r="N55" i="16"/>
  <c r="N56" i="16"/>
  <c r="N57" i="16"/>
  <c r="N58" i="16"/>
  <c r="K46" i="2"/>
  <c r="I5" i="12"/>
  <c r="K37" i="2"/>
  <c r="I3" i="9"/>
  <c r="I16" i="14"/>
  <c r="I3" i="15"/>
  <c r="K10" i="2"/>
  <c r="K8" i="2"/>
  <c r="J4" i="2"/>
  <c r="K4" i="2"/>
  <c r="K5" i="2"/>
  <c r="H50" i="19" l="1"/>
  <c r="H30" i="17"/>
  <c r="H60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H3" i="9" l="1"/>
  <c r="H5" i="4"/>
  <c r="F8" i="6"/>
  <c r="J46" i="2" l="1"/>
  <c r="H4" i="17"/>
  <c r="H45" i="16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H9" i="4"/>
  <c r="H8" i="4"/>
  <c r="H26" i="4"/>
  <c r="H10" i="4" l="1"/>
  <c r="J42" i="2"/>
  <c r="J37" i="2"/>
  <c r="H12" i="4"/>
  <c r="L10" i="12"/>
  <c r="N4" i="12"/>
  <c r="N5" i="12"/>
  <c r="N6" i="12"/>
  <c r="N7" i="12"/>
  <c r="N8" i="12"/>
  <c r="N9" i="12"/>
  <c r="I10" i="12"/>
  <c r="J10" i="12"/>
  <c r="K10" i="12"/>
  <c r="M10" i="12"/>
  <c r="J8" i="2"/>
  <c r="J10" i="2"/>
  <c r="P9" i="2"/>
  <c r="J5" i="2"/>
  <c r="N10" i="12" l="1"/>
  <c r="G9" i="4"/>
  <c r="Q22" i="2"/>
  <c r="G4" i="17" l="1"/>
  <c r="N47" i="15"/>
  <c r="N48" i="15"/>
  <c r="N56" i="15"/>
  <c r="N57" i="15"/>
  <c r="N40" i="15"/>
  <c r="N41" i="15"/>
  <c r="N42" i="15"/>
  <c r="N43" i="15"/>
  <c r="N44" i="15"/>
  <c r="N45" i="15"/>
  <c r="G8" i="6"/>
  <c r="H8" i="6"/>
  <c r="I8" i="6"/>
  <c r="J8" i="6"/>
  <c r="K8" i="6"/>
  <c r="G3" i="9"/>
  <c r="I46" i="2"/>
  <c r="N38" i="15"/>
  <c r="N39" i="15"/>
  <c r="N46" i="15"/>
  <c r="N58" i="15"/>
  <c r="G10" i="4"/>
  <c r="G3" i="7"/>
  <c r="I44" i="2"/>
  <c r="I13" i="2"/>
  <c r="I14" i="2" s="1"/>
  <c r="N35" i="15"/>
  <c r="N36" i="15"/>
  <c r="N37" i="15"/>
  <c r="G6" i="6"/>
  <c r="G5" i="6"/>
  <c r="G3" i="4"/>
  <c r="I24" i="2"/>
  <c r="G4" i="6"/>
  <c r="I23" i="2"/>
  <c r="G4" i="7"/>
  <c r="I38" i="2"/>
  <c r="G27" i="4"/>
  <c r="G26" i="4"/>
  <c r="N29" i="16"/>
  <c r="N30" i="16"/>
  <c r="N31" i="16"/>
  <c r="N32" i="16"/>
  <c r="I15" i="2"/>
  <c r="I16" i="2" s="1"/>
  <c r="P11" i="2"/>
  <c r="G13" i="2"/>
  <c r="H13" i="2"/>
  <c r="I5" i="2"/>
  <c r="I8" i="2"/>
  <c r="I10" i="2"/>
  <c r="I4" i="2" l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4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" i="17"/>
  <c r="E30" i="17"/>
  <c r="F30" i="17"/>
  <c r="G30" i="17"/>
  <c r="I30" i="17"/>
  <c r="J30" i="17"/>
  <c r="K30" i="17"/>
  <c r="L30" i="17"/>
  <c r="M30" i="17"/>
  <c r="D4" i="17"/>
  <c r="D5" i="17"/>
  <c r="D30" i="17" s="1"/>
  <c r="D59" i="15"/>
  <c r="D3" i="7"/>
  <c r="F4" i="2"/>
  <c r="J13" i="2"/>
  <c r="K13" i="2"/>
  <c r="L13" i="2"/>
  <c r="M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C30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4" i="20"/>
  <c r="F34" i="2" s="1"/>
  <c r="E54" i="20"/>
  <c r="G34" i="2" s="1"/>
  <c r="F54" i="20"/>
  <c r="H34" i="2" s="1"/>
  <c r="G54" i="20"/>
  <c r="I34" i="2" s="1"/>
  <c r="H54" i="20"/>
  <c r="J34" i="2" s="1"/>
  <c r="I54" i="20"/>
  <c r="K34" i="2" s="1"/>
  <c r="J54" i="20"/>
  <c r="L34" i="2" s="1"/>
  <c r="K54" i="20"/>
  <c r="M34" i="2" s="1"/>
  <c r="L54" i="20"/>
  <c r="N34" i="2" s="1"/>
  <c r="M54" i="20"/>
  <c r="O34" i="2" s="1"/>
  <c r="D50" i="19"/>
  <c r="F29" i="2" s="1"/>
  <c r="E50" i="19"/>
  <c r="G29" i="2" s="1"/>
  <c r="F50" i="19"/>
  <c r="H29" i="2" s="1"/>
  <c r="G50" i="19"/>
  <c r="I29" i="2" s="1"/>
  <c r="J29" i="2"/>
  <c r="I50" i="19"/>
  <c r="K29" i="2" s="1"/>
  <c r="J50" i="19"/>
  <c r="L29" i="2" s="1"/>
  <c r="K50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60" i="16"/>
  <c r="F27" i="2" s="1"/>
  <c r="E60" i="16"/>
  <c r="G27" i="2" s="1"/>
  <c r="F60" i="16"/>
  <c r="H27" i="2" s="1"/>
  <c r="G60" i="16"/>
  <c r="I27" i="2" s="1"/>
  <c r="J27" i="2"/>
  <c r="I60" i="16"/>
  <c r="K27" i="2" s="1"/>
  <c r="F26" i="2"/>
  <c r="E59" i="15"/>
  <c r="G26" i="2" s="1"/>
  <c r="F59" i="15"/>
  <c r="H26" i="2" s="1"/>
  <c r="G59" i="15"/>
  <c r="I26" i="2" s="1"/>
  <c r="H59" i="15"/>
  <c r="J26" i="2" s="1"/>
  <c r="I59" i="15"/>
  <c r="K26" i="2" s="1"/>
  <c r="J59" i="15"/>
  <c r="L26" i="2" s="1"/>
  <c r="K59" i="15"/>
  <c r="M26" i="2" s="1"/>
  <c r="D31" i="14"/>
  <c r="F25" i="2" s="1"/>
  <c r="E31" i="14"/>
  <c r="G25" i="2" s="1"/>
  <c r="F31" i="14"/>
  <c r="H25" i="2" s="1"/>
  <c r="G31" i="14"/>
  <c r="I25" i="2" s="1"/>
  <c r="H31" i="14"/>
  <c r="J25" i="2" s="1"/>
  <c r="I31" i="14"/>
  <c r="K25" i="2" s="1"/>
  <c r="J31" i="14"/>
  <c r="L25" i="2" s="1"/>
  <c r="K31" i="14"/>
  <c r="M25" i="2" s="1"/>
  <c r="L31" i="14"/>
  <c r="N25" i="2" s="1"/>
  <c r="M31" i="14"/>
  <c r="O25" i="2" s="1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J14" i="2"/>
  <c r="K14" i="2"/>
  <c r="L14" i="2"/>
  <c r="M14" i="2"/>
  <c r="N14" i="2"/>
  <c r="O14" i="2"/>
  <c r="J15" i="2"/>
  <c r="K15" i="2"/>
  <c r="K16" i="2" s="1"/>
  <c r="L15" i="2"/>
  <c r="M15" i="2"/>
  <c r="N15" i="2"/>
  <c r="O15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7" i="5"/>
  <c r="N3" i="5"/>
  <c r="M10" i="5"/>
  <c r="O18" i="2" s="1"/>
  <c r="L10" i="5"/>
  <c r="K10" i="5"/>
  <c r="M18" i="2" s="1"/>
  <c r="J10" i="5"/>
  <c r="L18" i="2" s="1"/>
  <c r="I10" i="5"/>
  <c r="K18" i="2" s="1"/>
  <c r="I104" i="4"/>
  <c r="K17" i="2" s="1"/>
  <c r="H104" i="4"/>
  <c r="J17" i="2" s="1"/>
  <c r="K104" i="4"/>
  <c r="M17" i="2" s="1"/>
  <c r="J104" i="4"/>
  <c r="L17" i="2" s="1"/>
  <c r="L104" i="4"/>
  <c r="N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J16" i="2" l="1"/>
  <c r="O16" i="2"/>
  <c r="N16" i="2"/>
  <c r="M16" i="2"/>
  <c r="L16" i="2"/>
  <c r="B3" i="7"/>
  <c r="D13" i="2" l="1"/>
  <c r="N3" i="20"/>
  <c r="B50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D10" i="2"/>
  <c r="B7" i="17"/>
  <c r="B12" i="4"/>
  <c r="N7" i="17" l="1"/>
  <c r="N30" i="17" s="1"/>
  <c r="B30" i="17"/>
  <c r="D14" i="2"/>
  <c r="E16" i="2"/>
  <c r="C50" i="19"/>
  <c r="E29" i="2" s="1"/>
  <c r="L50" i="19"/>
  <c r="N29" i="2" s="1"/>
  <c r="M50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4" i="20"/>
  <c r="D34" i="2" s="1"/>
  <c r="C54" i="20"/>
  <c r="E34" i="2" s="1"/>
  <c r="D16" i="2" l="1"/>
  <c r="P14" i="2"/>
  <c r="N13" i="4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1" i="19"/>
  <c r="N40" i="19"/>
  <c r="N6" i="19"/>
  <c r="N5" i="19"/>
  <c r="P12" i="2" l="1"/>
  <c r="P10" i="2" l="1"/>
  <c r="N7" i="6"/>
  <c r="B8" i="6" l="1"/>
  <c r="C8" i="6"/>
  <c r="D8" i="6"/>
  <c r="F19" i="2" s="1"/>
  <c r="E8" i="6"/>
  <c r="G19" i="2" s="1"/>
  <c r="H19" i="2"/>
  <c r="L8" i="6"/>
  <c r="N19" i="2" s="1"/>
  <c r="M8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5" i="20"/>
  <c r="K31" i="1"/>
  <c r="D28" i="2"/>
  <c r="E28" i="2"/>
  <c r="M28" i="2"/>
  <c r="N28" i="2"/>
  <c r="O28" i="2"/>
  <c r="B1" i="4"/>
  <c r="B104" i="4" s="1"/>
  <c r="P33" i="2"/>
  <c r="R33" i="2" s="1"/>
  <c r="P38" i="2"/>
  <c r="R38" i="2" s="1"/>
  <c r="M6" i="7"/>
  <c r="O20" i="2" s="1"/>
  <c r="N18" i="15"/>
  <c r="N19" i="15"/>
  <c r="N17" i="20"/>
  <c r="N20" i="15"/>
  <c r="N5" i="9"/>
  <c r="F104" i="4"/>
  <c r="H17" i="2" s="1"/>
  <c r="K60" i="16"/>
  <c r="M27" i="2" s="1"/>
  <c r="P32" i="2"/>
  <c r="R32" i="2" s="1"/>
  <c r="P8" i="2"/>
  <c r="C104" i="4"/>
  <c r="E17" i="2" s="1"/>
  <c r="C6" i="7"/>
  <c r="N6" i="15"/>
  <c r="N7" i="15"/>
  <c r="N3" i="6"/>
  <c r="D19" i="2"/>
  <c r="N6" i="4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6" i="20"/>
  <c r="N14" i="20"/>
  <c r="N13" i="20"/>
  <c r="N12" i="20"/>
  <c r="N11" i="20"/>
  <c r="N10" i="20"/>
  <c r="N9" i="20"/>
  <c r="B1" i="20"/>
  <c r="D29" i="2"/>
  <c r="N49" i="19"/>
  <c r="N48" i="19"/>
  <c r="N47" i="19"/>
  <c r="N46" i="19"/>
  <c r="N45" i="19"/>
  <c r="N44" i="19"/>
  <c r="N43" i="19"/>
  <c r="N42" i="19"/>
  <c r="B1" i="19"/>
  <c r="D1" i="17"/>
  <c r="M60" i="16"/>
  <c r="O27" i="2" s="1"/>
  <c r="L60" i="16"/>
  <c r="N27" i="2" s="1"/>
  <c r="J60" i="16"/>
  <c r="L27" i="2" s="1"/>
  <c r="B60" i="16"/>
  <c r="D27" i="2" s="1"/>
  <c r="N59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59" i="15"/>
  <c r="O26" i="2" s="1"/>
  <c r="L59" i="15"/>
  <c r="N26" i="2" s="1"/>
  <c r="C59" i="15"/>
  <c r="B59" i="15"/>
  <c r="D26" i="2" s="1"/>
  <c r="N5" i="15"/>
  <c r="B1" i="15"/>
  <c r="C31" i="14"/>
  <c r="E25" i="2" s="1"/>
  <c r="B31" i="14"/>
  <c r="D25" i="2" s="1"/>
  <c r="B1" i="14"/>
  <c r="H10" i="12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N10" i="5"/>
  <c r="B1" i="5"/>
  <c r="M104" i="4"/>
  <c r="O17" i="2" s="1"/>
  <c r="G104" i="4"/>
  <c r="I17" i="2" s="1"/>
  <c r="E104" i="4"/>
  <c r="G17" i="2" s="1"/>
  <c r="D104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P37" i="2"/>
  <c r="R37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J22" i="2" l="1"/>
  <c r="J35" i="2" s="1"/>
  <c r="J48" i="2" s="1"/>
  <c r="J61" i="2" s="1"/>
  <c r="N12" i="1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1" i="2"/>
  <c r="R31" i="2" s="1"/>
  <c r="U12" i="3"/>
  <c r="W27" i="1"/>
  <c r="U17" i="3"/>
  <c r="L35" i="2"/>
  <c r="L48" i="2" s="1"/>
  <c r="E21" i="2"/>
  <c r="M35" i="2"/>
  <c r="M48" i="2" s="1"/>
  <c r="F35" i="2"/>
  <c r="N7" i="8"/>
  <c r="I35" i="2"/>
  <c r="I48" i="2" s="1"/>
  <c r="I61" i="2" s="1"/>
  <c r="D18" i="2"/>
  <c r="P18" i="2" s="1"/>
  <c r="R18" i="2" s="1"/>
  <c r="N12" i="5"/>
  <c r="E26" i="2"/>
  <c r="E20" i="2"/>
  <c r="O35" i="2"/>
  <c r="R7" i="2"/>
  <c r="R8" i="2"/>
  <c r="D17" i="2"/>
  <c r="N17" i="1"/>
  <c r="N16" i="1"/>
  <c r="Q17" i="2"/>
  <c r="C35" i="2"/>
  <c r="C48" i="2" s="1"/>
  <c r="N54" i="20"/>
  <c r="P34" i="2" s="1"/>
  <c r="R34" i="2" s="1"/>
  <c r="K28" i="1"/>
  <c r="N104" i="4"/>
  <c r="N105" i="4" s="1"/>
  <c r="B35" i="2"/>
  <c r="B48" i="2" s="1"/>
  <c r="N19" i="1"/>
  <c r="J28" i="1"/>
  <c r="L31" i="1"/>
  <c r="M31" i="1"/>
  <c r="I28" i="1"/>
  <c r="Q5" i="2"/>
  <c r="Q14" i="2" s="1"/>
  <c r="M13" i="1"/>
  <c r="L26" i="1"/>
  <c r="M28" i="1"/>
  <c r="N8" i="6"/>
  <c r="N10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N31" i="14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P20" i="2"/>
  <c r="R20" i="2" s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35" i="2" s="1"/>
  <c r="N48" i="2" s="1"/>
  <c r="P23" i="2"/>
  <c r="R23" i="2" s="1"/>
  <c r="N50" i="19"/>
  <c r="N10" i="16"/>
  <c r="N60" i="16" s="1"/>
  <c r="C60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59" i="15" s="1"/>
  <c r="N61" i="15" s="1"/>
  <c r="P40" i="2"/>
  <c r="R40" i="2" s="1"/>
  <c r="P30" i="2"/>
  <c r="R30" i="2" s="1"/>
  <c r="H48" i="2" l="1"/>
  <c r="H61" i="2" s="1"/>
  <c r="G48" i="2"/>
  <c r="G61" i="2" s="1"/>
  <c r="D35" i="2"/>
  <c r="D48" i="2" s="1"/>
  <c r="D61" i="2" s="1"/>
  <c r="N8" i="9"/>
  <c r="F48" i="2"/>
  <c r="F61" i="2" s="1"/>
  <c r="E35" i="2"/>
  <c r="E48" i="2" s="1"/>
  <c r="E61" i="2" s="1"/>
  <c r="O48" i="2"/>
  <c r="R5" i="2"/>
  <c r="P24" i="2"/>
  <c r="R24" i="2" s="1"/>
  <c r="K35" i="2"/>
  <c r="K48" i="2" s="1"/>
  <c r="K61" i="2" s="1"/>
  <c r="N56" i="20"/>
  <c r="N32" i="17"/>
  <c r="P26" i="2"/>
  <c r="R26" i="2" s="1"/>
  <c r="N33" i="14"/>
  <c r="P25" i="2"/>
  <c r="R25" i="2" s="1"/>
  <c r="U22" i="1"/>
  <c r="W22" i="1" s="1"/>
  <c r="R14" i="2"/>
  <c r="P46" i="2"/>
  <c r="R46" i="2"/>
  <c r="U28" i="1"/>
  <c r="W28" i="1" s="1"/>
  <c r="U23" i="1"/>
  <c r="W23" i="1" s="1"/>
  <c r="U31" i="1"/>
  <c r="W31" i="1" s="1"/>
  <c r="U20" i="1"/>
  <c r="W20" i="1" s="1"/>
  <c r="M32" i="1"/>
  <c r="N52" i="19"/>
  <c r="U14" i="1"/>
  <c r="W14" i="1" s="1"/>
  <c r="U19" i="1"/>
  <c r="W19" i="1" s="1"/>
  <c r="N62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  <c r="R48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<sst xmlns="http://schemas.openxmlformats.org/spreadsheetml/2006/main" count="663" uniqueCount="375">
  <si>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</si>
  <si>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</si>
  <si>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</si>
  <si>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</si>
  <si>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</si>
  <si>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</si>
  <si>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</si>
  <si>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</si>
  <si>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</si>
  <si>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</si>
  <si>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</si>
  <si>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</si>
  <si>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</si>
  <si>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</si>
  <si>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</si>
  <si>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</si>
  <si>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</si>
  <si>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</si>
  <si>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</si>
  <si>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</si>
  <si>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</si>
  <si>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</si>
  <si>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</si>
  <si>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</si>
  <si>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</si>
  <si>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</si>
  <si>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</si>
  <si>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</si>
  <si>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</si>
  <si>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</si>
  <si>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</si>
  <si>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</si>
  <si>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</si>
  <si>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</si>
  <si>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</si>
  <si>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</si>
  <si>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</si>
  <si>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</si>
  <si>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</si>
  <si>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</si>
  <si>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</si>
  <si>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</si>
  <si>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</si>
  <si>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</si>
  <si>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</si>
  <si>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</si>
  <si>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</si>
  <si>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</si>
  <si>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</si>
  <si>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</si>
  <si>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</si>
  <si>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</si>
  <si>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</si>
  <si>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</si>
  <si>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</si>
  <si>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</si>
  <si>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</si>
  <si>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</si>
  <si>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</si>
  <si>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</si>
  <si>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</si>
  <si>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</si>
  <si>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</si>
  <si>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</si>
  <si>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</si>
  <si>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</si>
  <si>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</si>
  <si>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</si>
  <si>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</si>
  <si>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</si>
  <si>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</si>
  <si>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</si>
  <si>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</si>
  <si>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</si>
  <si>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</si>
  <si>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</si>
  <si>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</si>
  <si>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</si>
  <si>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</si>
  <si>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</si>
  <si>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</si>
  <si>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</si>
  <si>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</si>
  <si>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</si>
  <si>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</si>
  <si>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</si>
  <si>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</si>
  <si>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</si>
  <si>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</si>
  <si>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</si>
  <si>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</si>
  <si>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</si>
  <si>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</si>
  <si>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</si>
  <si>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</si>
  <si>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</si>
  <si>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</si>
  <si>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</si>
  <si>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</si>
  <si>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</si>
  <si>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</si>
  <si>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</si>
  <si>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</si>
  <si>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</si>
  <si>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</si>
  <si>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</si>
  <si>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</si>
  <si>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</si>
  <si>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</si>
  <si>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</si>
  <si>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</si>
  <si>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</si>
  <si>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</si>
  <si>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</si>
  <si>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</si>
  <si>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</si>
  <si>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</si>
  <si>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</si>
  <si>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</si>
  <si>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</si>
  <si>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</si>
  <si>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</si>
  <si>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</si>
  <si>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</si>
  <si>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</si>
  <si>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</si>
  <si>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</si>
  <si>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</si>
  <si>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</si>
  <si>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</si>
  <si>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</si>
  <si>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</si>
  <si>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</si>
  <si>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</si>
  <si>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</si>
  <si>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</si>
  <si>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</si>
  <si>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</si>
  <si>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</si>
  <si>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</si>
  <si>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</si>
  <si>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</si>
  <si>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</si>
  <si>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</si>
  <si>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</si>
  <si>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</si>
  <si>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</si>
  <si>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</si>
  <si>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</si>
  <si>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</si>
  <si>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БАНК 51 сч.</t>
  </si>
  <si>
    <t>приход</t>
  </si>
  <si>
    <t>расход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</si>
  <si>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</si>
  <si>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</si>
  <si>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</si>
  <si>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</si>
  <si>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</si>
  <si>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</si>
  <si>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</si>
  <si>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</si>
  <si>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</si>
  <si>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</si>
  <si>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</si>
  <si>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</si>
  <si>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</si>
  <si>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</si>
  <si>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</si>
  <si>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</si>
  <si>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</si>
  <si>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</si>
  <si>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</si>
  <si>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</si>
  <si>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</si>
  <si>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</si>
  <si>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</si>
  <si>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</si>
  <si>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</si>
  <si>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</si>
  <si>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</si>
  <si>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</si>
  <si>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</si>
  <si>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</si>
  <si>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</si>
  <si>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</si>
  <si>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</si>
  <si>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</si>
  <si>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</si>
  <si>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</si>
  <si>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</si>
  <si>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</si>
  <si>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</si>
  <si>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</si>
  <si>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</si>
  <si>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</si>
  <si>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</si>
  <si>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</si>
  <si>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</si>
  <si>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</si>
  <si>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</si>
  <si>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</si>
  <si>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</si>
  <si>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</si>
  <si>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</si>
  <si>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</si>
  <si>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</si>
  <si>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</si>
  <si>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</si>
  <si>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</si>
  <si>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</si>
  <si>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</si>
  <si>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</si>
  <si>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</si>
  <si>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</si>
  <si>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</si>
  <si>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</si>
  <si>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</si>
  <si>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</si>
  <si>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</si>
  <si>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</si>
  <si>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</si>
  <si>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</si>
  <si>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</si>
  <si>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</si>
  <si>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</si>
  <si>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</si>
  <si>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</si>
  <si>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</si>
  <si>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</si>
  <si>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</si>
  <si>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</si>
  <si>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</si>
  <si>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</si>
  <si>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</si>
  <si>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</si>
  <si>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</si>
  <si>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</si>
  <si>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</si>
  <si>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</si>
  <si>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</si>
  <si>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</si>
  <si>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</si>
  <si>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</si>
  <si>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</si>
  <si>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</si>
  <si>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</si>
  <si>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</si>
  <si>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</si>
  <si>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</si>
  <si>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</si>
  <si>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</si>
  <si>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</si>
  <si>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</si>
  <si>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</si>
  <si>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</si>
  <si>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</si>
  <si>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</si>
  <si>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</si>
  <si>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</si>
  <si>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</si>
  <si>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</si>
  <si>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</si>
  <si>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</si>
  <si>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</si>
  <si>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</si>
  <si>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</si>
  <si>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</si>
  <si>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</si>
  <si>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</si>
  <si>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</si>
  <si>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</si>
  <si>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</si>
  <si>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</si>
  <si>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</si>
  <si>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</si>
  <si>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</si>
  <si>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</si>
  <si>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</si>
  <si>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</si>
  <si>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</si>
  <si>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</si>
  <si>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</si>
  <si>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</si>
  <si>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</si>
  <si>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</si>
  <si>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</si>
  <si>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</si>
  <si>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</si>
  <si>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</si>
  <si>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</si>
  <si>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</si>
  <si>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</si>
  <si>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</si>
  <si>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</si>
  <si>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</si>
  <si>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</si>
  <si>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</si>
  <si>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</si>
  <si>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</si>
  <si>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</si>
  <si>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</si>
  <si>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</si>
  <si>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</si>
  <si>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</si>
  <si>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</si>
  <si>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</si>
  <si>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</si>
  <si>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</si>
  <si>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</si>
  <si>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</si>
  <si>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</si>
  <si>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</si>
  <si>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</si>
  <si>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</si>
  <si>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</si>
  <si>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</si>
  <si>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</si>
  <si>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</si>
  <si>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</si>
  <si>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</si>
  <si>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</si>
  <si>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</si>
  <si>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</si>
  <si>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</si>
  <si>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</si>
  <si>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</si>
  <si>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</si>
  <si>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</si>
  <si>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</si>
  <si>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</si>
  <si>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</si>
  <si>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Исполнение финансового плана ТСН "КП "Согласие" за ноябрь 2023 - май 2024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</si>
  <si>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</si>
  <si>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</si>
  <si>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</si>
  <si>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</si>
  <si>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</si>
  <si>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</si>
  <si>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</si>
  <si>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</si>
  <si>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</si>
  <si>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</si>
  <si>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</si>
  <si>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</si>
  <si>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</si>
  <si>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</si>
  <si>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</si>
  <si>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</si>
  <si>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</si>
  <si>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</si>
  <si>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</si>
  <si>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</si>
  <si>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</si>
  <si>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</si>
  <si>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</si>
  <si>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</si>
  <si>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</si>
  <si>
    <t>автокран</t>
  </si>
  <si>
    <t>финоценка газопровода</t>
  </si>
  <si>
    <t>газонокосилка</t>
  </si>
  <si>
    <t>фотоэлементы д/шлагбаума</t>
  </si>
  <si>
    <t>труба б/шовная</t>
  </si>
  <si>
    <t>подводка, смеситель</t>
  </si>
  <si>
    <t>перчатки, газ баллон, краги, газ. Горелка, отвертка, маска сварщика</t>
  </si>
  <si>
    <t>брусок, саморезы</t>
  </si>
  <si>
    <t>биты</t>
  </si>
  <si>
    <t>муфты, картриджи</t>
  </si>
  <si>
    <t>болты, гайки</t>
  </si>
  <si>
    <t>гидропломба</t>
  </si>
  <si>
    <t>перчатки, замок</t>
  </si>
  <si>
    <t>ведра пласт.. Замок</t>
  </si>
  <si>
    <t>замок в дверь</t>
  </si>
  <si>
    <t>светодиодный светильник</t>
  </si>
  <si>
    <t>хомут</t>
  </si>
  <si>
    <t>свечи ларгус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</si>
</sst>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</font>
    <font>
      <b/>
      <sz val="11"/>
      <color indexed="64"/>
      <name val="Calibri"/>
    </font>
    <font>
      <b/>
      <sz val="14"/>
      <color indexed="64"/>
      <name val="Arial"/>
    </font>
    <font>
      <b/>
      <sz val="11"/>
      <color indexed="64"/>
      <name val="Arial"/>
    </font>
    <font>
      <b/>
      <sz val="12"/>
      <color indexed="64"/>
      <name val="Arial"/>
    </font>
    <font>
      <b/>
      <sz val="12"/>
      <color indexed="64"/>
      <name val="Calibri"/>
    </font>
    <font>
      <b/>
      <i/>
      <sz val="14"/>
      <color indexed="64"/>
      <name val="Calibri"/>
    </font>
    <font>
      <sz val="12"/>
      <color indexed="64"/>
      <name val="Calibri"/>
    </font>
    <font>
      <sz val="12"/>
      <name val="Calibri"/>
    </font>
    <font>
      <b/>
      <sz val="12"/>
      <name val="Calibri"/>
    </font>
    <font>
      <i/>
      <sz val="12"/>
      <color indexed="64"/>
      <name val="Calibri"/>
    </font>
    <font>
      <sz val="11"/>
      <color indexed="64"/>
      <name val="Arial"/>
    </font>
    <font>
      <b/>
      <i/>
      <sz val="10"/>
      <color indexed="64"/>
      <name val="Arial"/>
    </font>
    <font>
      <b/>
      <i/>
      <sz val="10"/>
      <color indexed="64"/>
      <name val="Calibri"/>
    </font>
    <font>
      <sz val="11"/>
      <name val="Calibri"/>
    </font>
    <font>
      <sz val="8"/>
      <name val="Calibri"/>
    </font>
    <font>
      <b/>
      <sz val="11"/>
      <name val="Calibri"/>
    </font>
    <font>
      <b/>
      <i/>
      <sz val="12"/>
      <color indexed="64"/>
      <name val="Calibri"/>
    </font>
    <font>
      <b/>
      <i/>
      <sz val="11"/>
      <color indexed="64"/>
      <name val="Calibri"/>
    </font>
    <font>
      <i/>
      <sz val="11"/>
      <color indexed="64"/>
      <name val="Calibri"/>
    </font>
    <font>
      <b/>
      <i/>
      <sz val="11"/>
      <color indexed="17"/>
      <name val="Calibri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Protection="0"/>
  </cellStyleXfs>
  <cellXfs count="41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6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3" fontId="10" fillId="4" borderId="8" xfId="0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3" fontId="12" fillId="2" borderId="8" xfId="0" applyNumberFormat="1" applyFont="1" applyFill="1" applyBorder="1"/>
    <xf numFmtId="3" fontId="12" fillId="2" borderId="8" xfId="0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/>
    <xf numFmtId="3" fontId="13" fillId="3" borderId="8" xfId="0" applyNumberFormat="1" applyFont="1" applyFill="1" applyBorder="1"/>
    <xf numFmtId="3" fontId="10" fillId="0" borderId="8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7" borderId="8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 vertical="center"/>
    </xf>
    <xf numFmtId="0" fontId="13" fillId="3" borderId="8" xfId="0" applyFont="1" applyFill="1" applyBorder="1"/>
    <xf numFmtId="0" fontId="10" fillId="7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0" xfId="0" applyFont="1" applyBorder="1" applyAlignment="1">
      <alignment horizontal="center"/>
    </xf>
    <xf numFmtId="3" fontId="12" fillId="2" borderId="10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12" fillId="2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3" fontId="12" fillId="0" borderId="10" xfId="0" applyNumberFormat="1" applyFont="1" applyBorder="1"/>
    <xf numFmtId="0" fontId="13" fillId="3" borderId="10" xfId="0" applyFont="1" applyFill="1" applyBorder="1"/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0" fillId="7" borderId="10" xfId="0" applyNumberFormat="1" applyFont="1" applyFill="1" applyBorder="1" applyAlignment="1">
      <alignment horizontal="center"/>
    </xf>
    <xf numFmtId="3" fontId="10" fillId="4" borderId="5" xfId="0" applyNumberFormat="1" applyFont="1" applyFill="1" applyBorder="1" applyAlignment="1">
      <alignment horizontal="center"/>
    </xf>
    <xf numFmtId="3" fontId="10" fillId="5" borderId="5" xfId="0" applyNumberFormat="1" applyFont="1" applyFill="1" applyBorder="1" applyAlignment="1">
      <alignment horizontal="center"/>
    </xf>
    <xf numFmtId="3" fontId="10" fillId="0" borderId="5" xfId="0" applyNumberFormat="1" applyFont="1" applyBorder="1"/>
    <xf numFmtId="3" fontId="10" fillId="2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3" fillId="3" borderId="5" xfId="0" applyNumberFormat="1" applyFont="1" applyFill="1" applyBorder="1"/>
    <xf numFmtId="3" fontId="10" fillId="0" borderId="5" xfId="0" applyNumberFormat="1" applyFont="1" applyBorder="1" applyAlignment="1">
      <alignment horizontal="center"/>
    </xf>
    <xf numFmtId="3" fontId="10" fillId="7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 vertical="center"/>
    </xf>
    <xf numFmtId="0" fontId="14" fillId="3" borderId="7" xfId="0" applyFont="1" applyFill="1" applyBorder="1"/>
    <xf numFmtId="0" fontId="10" fillId="0" borderId="8" xfId="0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2" fillId="9" borderId="8" xfId="0" applyNumberFormat="1" applyFont="1" applyFill="1" applyBorder="1" applyAlignment="1">
      <alignment horizontal="center"/>
    </xf>
    <xf numFmtId="3" fontId="10" fillId="8" borderId="8" xfId="0" applyNumberFormat="1" applyFont="1" applyFill="1" applyBorder="1" applyAlignment="1">
      <alignment horizontal="center"/>
    </xf>
    <xf numFmtId="0" fontId="12" fillId="0" borderId="5" xfId="0" applyFont="1" applyBorder="1"/>
    <xf numFmtId="3" fontId="12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0" fillId="4" borderId="10" xfId="0" applyNumberFormat="1" applyFont="1" applyFill="1" applyBorder="1" applyAlignment="1">
      <alignment horizontal="center"/>
    </xf>
    <xf numFmtId="3" fontId="10" fillId="5" borderId="10" xfId="0" applyNumberFormat="1" applyFont="1" applyFill="1" applyBorder="1" applyAlignment="1">
      <alignment horizontal="center"/>
    </xf>
    <xf numFmtId="3" fontId="12" fillId="9" borderId="10" xfId="0" applyNumberFormat="1" applyFont="1" applyFill="1" applyBorder="1" applyAlignment="1">
      <alignment horizontal="center"/>
    </xf>
    <xf numFmtId="3" fontId="13" fillId="3" borderId="10" xfId="0" applyNumberFormat="1" applyFont="1" applyFill="1" applyBorder="1"/>
    <xf numFmtId="3" fontId="10" fillId="8" borderId="10" xfId="0" applyNumberFormat="1" applyFont="1" applyFill="1" applyBorder="1" applyAlignment="1">
      <alignment horizontal="center"/>
    </xf>
    <xf numFmtId="0" fontId="6" fillId="0" borderId="0" xfId="0" applyFont="1"/>
    <xf numFmtId="3" fontId="10" fillId="9" borderId="5" xfId="0" applyNumberFormat="1" applyFont="1" applyFill="1" applyBorder="1" applyAlignment="1">
      <alignment horizontal="center"/>
    </xf>
    <xf numFmtId="3" fontId="10" fillId="9" borderId="5" xfId="0" applyNumberFormat="1" applyFont="1" applyFill="1" applyBorder="1"/>
    <xf numFmtId="3" fontId="10" fillId="10" borderId="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1" borderId="16" xfId="0" applyFont="1" applyFill="1" applyBorder="1"/>
    <xf numFmtId="0" fontId="16" fillId="11" borderId="17" xfId="0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6" fillId="0" borderId="16" xfId="0" applyFont="1" applyBorder="1"/>
    <xf numFmtId="0" fontId="6" fillId="0" borderId="7" xfId="0" applyFont="1" applyBorder="1"/>
    <xf numFmtId="0" fontId="0" fillId="0" borderId="16" xfId="0" applyBorder="1"/>
    <xf numFmtId="0" fontId="22" fillId="0" borderId="16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23" fillId="0" borderId="5" xfId="0" applyFont="1" applyBorder="1" applyAlignment="1">
      <alignment horizontal="center"/>
    </xf>
    <xf numFmtId="0" fontId="0" fillId="3" borderId="5" xfId="0" applyFill="1" applyBorder="1"/>
    <xf numFmtId="3" fontId="6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19" fillId="3" borderId="8" xfId="0" applyNumberFormat="1" applyFont="1" applyFill="1" applyBorder="1"/>
    <xf numFmtId="3" fontId="6" fillId="0" borderId="8" xfId="0" applyNumberFormat="1" applyFont="1" applyBorder="1"/>
    <xf numFmtId="3" fontId="6" fillId="0" borderId="0" xfId="0" applyNumberFormat="1" applyFont="1"/>
    <xf numFmtId="0" fontId="0" fillId="0" borderId="8" xfId="0" applyBorder="1"/>
    <xf numFmtId="0" fontId="19" fillId="3" borderId="8" xfId="0" applyFont="1" applyFill="1" applyBorder="1"/>
    <xf numFmtId="3" fontId="21" fillId="0" borderId="8" xfId="0" applyNumberFormat="1" applyFont="1" applyBorder="1"/>
    <xf numFmtId="0" fontId="10" fillId="0" borderId="0" xfId="0" applyFont="1"/>
    <xf numFmtId="3" fontId="10" fillId="0" borderId="8" xfId="0" applyNumberFormat="1" applyFont="1" applyBorder="1"/>
    <xf numFmtId="3" fontId="10" fillId="10" borderId="8" xfId="0" applyNumberFormat="1" applyFont="1" applyFill="1" applyBorder="1"/>
    <xf numFmtId="0" fontId="21" fillId="3" borderId="7" xfId="0" applyFont="1" applyFill="1" applyBorder="1"/>
    <xf numFmtId="0" fontId="24" fillId="3" borderId="8" xfId="0" applyFont="1" applyFill="1" applyBorder="1"/>
    <xf numFmtId="3" fontId="6" fillId="2" borderId="8" xfId="0" applyNumberFormat="1" applyFont="1" applyFill="1" applyBorder="1"/>
    <xf numFmtId="3" fontId="0" fillId="2" borderId="8" xfId="0" applyNumberFormat="1" applyFill="1" applyBorder="1"/>
    <xf numFmtId="3" fontId="6" fillId="3" borderId="8" xfId="0" applyNumberFormat="1" applyFont="1" applyFill="1" applyBorder="1"/>
    <xf numFmtId="3" fontId="25" fillId="3" borderId="8" xfId="0" applyNumberFormat="1" applyFont="1" applyFill="1" applyBorder="1"/>
    <xf numFmtId="3" fontId="6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19" fillId="3" borderId="5" xfId="0" applyNumberFormat="1" applyFont="1" applyFill="1" applyBorder="1"/>
    <xf numFmtId="3" fontId="25" fillId="3" borderId="5" xfId="0" applyNumberFormat="1" applyFont="1" applyFill="1" applyBorder="1"/>
    <xf numFmtId="3" fontId="0" fillId="13" borderId="8" xfId="0" applyNumberFormat="1" applyFill="1" applyBorder="1"/>
    <xf numFmtId="0" fontId="6" fillId="0" borderId="6" xfId="0" applyFont="1" applyBorder="1"/>
    <xf numFmtId="3" fontId="10" fillId="2" borderId="8" xfId="0" applyNumberFormat="1" applyFont="1" applyFill="1" applyBorder="1"/>
    <xf numFmtId="0" fontId="25" fillId="0" borderId="0" xfId="0" applyFont="1"/>
    <xf numFmtId="0" fontId="26" fillId="0" borderId="1" xfId="1" applyFont="1" applyBorder="1" applyAlignment="1">
      <alignment wrapText="1"/>
    </xf>
    <xf numFmtId="0" fontId="4" fillId="0" borderId="1" xfId="1" applyBorder="1" applyAlignment="1">
      <alignment horizontal="center"/>
    </xf>
    <xf numFmtId="0" fontId="26" fillId="0" borderId="1" xfId="1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1" applyAlignment="1">
      <alignment wrapText="1"/>
    </xf>
    <xf numFmtId="0" fontId="4" fillId="0" borderId="3" xfId="1" applyBorder="1" applyAlignment="1">
      <alignment horizontal="center"/>
    </xf>
    <xf numFmtId="0" fontId="4" fillId="0" borderId="0" xfId="1" applyAlignment="1">
      <alignment horizontal="center"/>
    </xf>
    <xf numFmtId="0" fontId="4" fillId="0" borderId="17" xfId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0" fontId="4" fillId="0" borderId="1" xfId="1" applyBorder="1" applyAlignment="1">
      <alignment wrapText="1"/>
    </xf>
    <xf numFmtId="0" fontId="4" fillId="0" borderId="5" xfId="1" applyBorder="1" applyAlignment="1">
      <alignment horizontal="center"/>
    </xf>
    <xf numFmtId="0" fontId="4" fillId="0" borderId="14" xfId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0" fontId="4" fillId="13" borderId="7" xfId="1" applyFill="1" applyBorder="1" applyAlignment="1">
      <alignment wrapText="1"/>
    </xf>
    <xf numFmtId="0" fontId="4" fillId="0" borderId="8" xfId="1" applyBorder="1" applyAlignment="1">
      <alignment horizontal="center"/>
    </xf>
    <xf numFmtId="0" fontId="4" fillId="0" borderId="7" xfId="1" applyBorder="1" applyAlignment="1">
      <alignment wrapText="1"/>
    </xf>
    <xf numFmtId="2" fontId="4" fillId="0" borderId="1" xfId="1" applyNumberFormat="1" applyBorder="1" applyAlignment="1">
      <alignment wrapText="1"/>
    </xf>
    <xf numFmtId="2" fontId="4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8" xfId="1" applyBorder="1"/>
    <xf numFmtId="3" fontId="26" fillId="8" borderId="5" xfId="1" applyNumberFormat="1" applyFont="1" applyFill="1" applyBorder="1" applyAlignment="1">
      <alignment horizontal="center"/>
    </xf>
    <xf numFmtId="164" fontId="26" fillId="8" borderId="5" xfId="2" applyNumberFormat="1" applyFont="1" applyFill="1" applyBorder="1" applyAlignment="1">
      <alignment horizontal="center"/>
    </xf>
    <xf numFmtId="0" fontId="26" fillId="0" borderId="1" xfId="1" applyFont="1" applyBorder="1"/>
    <xf numFmtId="0" fontId="4" fillId="0" borderId="0" xfId="1"/>
    <xf numFmtId="0" fontId="4" fillId="0" borderId="8" xfId="1" applyBorder="1" applyAlignment="1">
      <alignment vertical="center"/>
    </xf>
    <xf numFmtId="0" fontId="26" fillId="0" borderId="8" xfId="1" applyFont="1" applyBorder="1"/>
    <xf numFmtId="3" fontId="26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" xfId="1" applyBorder="1"/>
    <xf numFmtId="0" fontId="26" fillId="0" borderId="8" xfId="1" applyFont="1" applyBorder="1" applyAlignment="1">
      <alignment horizontal="left"/>
    </xf>
    <xf numFmtId="0" fontId="26" fillId="0" borderId="3" xfId="1" applyFont="1" applyBorder="1" applyAlignment="1">
      <alignment horizontal="center"/>
    </xf>
    <xf numFmtId="0" fontId="4" fillId="0" borderId="7" xfId="1" applyBorder="1" applyAlignment="1">
      <alignment horizontal="left" vertical="center" wrapText="1"/>
    </xf>
    <xf numFmtId="0" fontId="4" fillId="0" borderId="7" xfId="1" applyBorder="1"/>
    <xf numFmtId="3" fontId="26" fillId="8" borderId="5" xfId="1" applyNumberFormat="1" applyFont="1" applyFill="1" applyBorder="1"/>
    <xf numFmtId="0" fontId="12" fillId="0" borderId="0" xfId="0" applyFont="1"/>
    <xf numFmtId="0" fontId="28" fillId="0" borderId="0" xfId="0" applyFont="1" applyAlignment="1">
      <alignment wrapText="1"/>
    </xf>
    <xf numFmtId="0" fontId="4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4" fillId="0" borderId="3" xfId="1" applyBorder="1"/>
    <xf numFmtId="0" fontId="4" fillId="0" borderId="17" xfId="1" applyBorder="1"/>
    <xf numFmtId="0" fontId="4" fillId="0" borderId="8" xfId="1" applyBorder="1" applyAlignment="1">
      <alignment horizontal="left"/>
    </xf>
    <xf numFmtId="0" fontId="4" fillId="0" borderId="8" xfId="1" applyBorder="1" applyAlignment="1">
      <alignment horizontal="left" vertical="center" wrapText="1"/>
    </xf>
    <xf numFmtId="0" fontId="4" fillId="0" borderId="17" xfId="1" applyBorder="1" applyAlignment="1">
      <alignment wrapText="1"/>
    </xf>
    <xf numFmtId="0" fontId="4" fillId="0" borderId="8" xfId="1" applyBorder="1" applyAlignment="1">
      <alignment wrapText="1"/>
    </xf>
    <xf numFmtId="0" fontId="4" fillId="0" borderId="2" xfId="1" applyBorder="1"/>
    <xf numFmtId="164" fontId="4" fillId="0" borderId="8" xfId="2" applyNumberFormat="1" applyFont="1" applyBorder="1"/>
    <xf numFmtId="164" fontId="4" fillId="0" borderId="13" xfId="2" applyNumberFormat="1" applyFont="1" applyBorder="1"/>
    <xf numFmtId="164" fontId="4" fillId="0" borderId="5" xfId="2" applyNumberFormat="1" applyFont="1" applyBorder="1"/>
    <xf numFmtId="164" fontId="0" fillId="0" borderId="8" xfId="2" applyNumberFormat="1" applyFont="1" applyBorder="1"/>
    <xf numFmtId="164" fontId="4" fillId="0" borderId="14" xfId="2" applyNumberFormat="1" applyFont="1" applyBorder="1"/>
    <xf numFmtId="164" fontId="4" fillId="0" borderId="0" xfId="2" applyNumberFormat="1" applyFont="1"/>
    <xf numFmtId="164" fontId="4" fillId="0" borderId="3" xfId="2" applyNumberFormat="1" applyFont="1" applyBorder="1"/>
    <xf numFmtId="164" fontId="26" fillId="8" borderId="5" xfId="2" applyNumberFormat="1" applyFont="1" applyFill="1" applyBorder="1"/>
    <xf numFmtId="43" fontId="4" fillId="0" borderId="8" xfId="2" applyFont="1" applyBorder="1"/>
    <xf numFmtId="164" fontId="4" fillId="0" borderId="1" xfId="2" applyNumberFormat="1" applyFont="1" applyBorder="1"/>
    <xf numFmtId="164" fontId="26" fillId="0" borderId="1" xfId="2" applyNumberFormat="1" applyFont="1" applyBorder="1"/>
    <xf numFmtId="164" fontId="4" fillId="0" borderId="17" xfId="2" applyNumberFormat="1" applyFont="1" applyBorder="1"/>
    <xf numFmtId="164" fontId="4" fillId="0" borderId="8" xfId="2" applyNumberFormat="1" applyFont="1" applyFill="1" applyBorder="1"/>
    <xf numFmtId="164" fontId="4" fillId="0" borderId="5" xfId="2" applyNumberFormat="1" applyFont="1" applyFill="1" applyBorder="1"/>
    <xf numFmtId="43" fontId="4" fillId="0" borderId="5" xfId="2" applyFont="1" applyBorder="1"/>
    <xf numFmtId="43" fontId="4" fillId="0" borderId="14" xfId="2" applyFont="1" applyBorder="1"/>
    <xf numFmtId="43" fontId="4" fillId="0" borderId="13" xfId="2" applyFont="1" applyBorder="1"/>
    <xf numFmtId="43" fontId="26" fillId="8" borderId="5" xfId="2" applyFont="1" applyFill="1" applyBorder="1"/>
    <xf numFmtId="43" fontId="26" fillId="0" borderId="5" xfId="2" applyFont="1" applyBorder="1"/>
    <xf numFmtId="164" fontId="27" fillId="0" borderId="8" xfId="2" applyNumberFormat="1" applyFont="1" applyBorder="1"/>
    <xf numFmtId="164" fontId="29" fillId="0" borderId="0" xfId="2" applyNumberFormat="1" applyFont="1" applyAlignment="1">
      <alignment horizontal="center"/>
    </xf>
    <xf numFmtId="43" fontId="4" fillId="0" borderId="0" xfId="2" applyFont="1"/>
    <xf numFmtId="43" fontId="4" fillId="0" borderId="3" xfId="2" applyFont="1" applyBorder="1"/>
    <xf numFmtId="43" fontId="0" fillId="0" borderId="0" xfId="2" applyFont="1"/>
    <xf numFmtId="0" fontId="4" fillId="16" borderId="1" xfId="1" applyFill="1" applyBorder="1"/>
    <xf numFmtId="0" fontId="3" fillId="0" borderId="8" xfId="0" applyFont="1" applyBorder="1"/>
    <xf numFmtId="0" fontId="29" fillId="0" borderId="0" xfId="0" applyFont="1"/>
    <xf numFmtId="164" fontId="29" fillId="0" borderId="0" xfId="2" applyNumberFormat="1" applyFont="1"/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wrapText="1"/>
    </xf>
    <xf numFmtId="164" fontId="36" fillId="18" borderId="0" xfId="2" applyNumberFormat="1" applyFont="1" applyFill="1"/>
    <xf numFmtId="164" fontId="36" fillId="0" borderId="0" xfId="2" applyNumberFormat="1" applyFont="1"/>
    <xf numFmtId="164" fontId="36" fillId="0" borderId="0" xfId="2" applyNumberFormat="1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wrapText="1"/>
    </xf>
    <xf numFmtId="164" fontId="38" fillId="0" borderId="0" xfId="2" applyNumberFormat="1" applyFont="1" applyAlignment="1">
      <alignment horizontal="center"/>
    </xf>
    <xf numFmtId="164" fontId="38" fillId="0" borderId="0" xfId="2" applyNumberFormat="1" applyFont="1"/>
    <xf numFmtId="0" fontId="38" fillId="0" borderId="0" xfId="0" applyFont="1"/>
    <xf numFmtId="0" fontId="39" fillId="0" borderId="0" xfId="0" applyFont="1" applyAlignment="1">
      <alignment wrapText="1"/>
    </xf>
    <xf numFmtId="164" fontId="39" fillId="0" borderId="0" xfId="2" applyNumberFormat="1" applyFont="1" applyFill="1" applyBorder="1" applyAlignment="1">
      <alignment horizontal="center"/>
    </xf>
    <xf numFmtId="164" fontId="31" fillId="0" borderId="0" xfId="2" applyNumberFormat="1" applyFont="1"/>
    <xf numFmtId="0" fontId="31" fillId="0" borderId="0" xfId="0" applyFont="1"/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164" fontId="31" fillId="0" borderId="0" xfId="2" applyNumberFormat="1" applyFont="1" applyAlignment="1">
      <alignment horizontal="center"/>
    </xf>
    <xf numFmtId="0" fontId="41" fillId="2" borderId="2" xfId="0" applyFont="1" applyFill="1" applyBorder="1" applyAlignment="1">
      <alignment wrapText="1"/>
    </xf>
    <xf numFmtId="0" fontId="31" fillId="0" borderId="4" xfId="0" applyFont="1" applyBorder="1" applyAlignment="1">
      <alignment wrapText="1"/>
    </xf>
    <xf numFmtId="0" fontId="43" fillId="0" borderId="2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/>
    </xf>
    <xf numFmtId="164" fontId="31" fillId="0" borderId="5" xfId="2" applyNumberFormat="1" applyFont="1" applyBorder="1" applyAlignment="1">
      <alignment horizontal="center" vertical="center" wrapText="1"/>
    </xf>
    <xf numFmtId="164" fontId="44" fillId="0" borderId="5" xfId="2" applyNumberFormat="1" applyFont="1" applyBorder="1" applyAlignment="1">
      <alignment horizontal="center" vertical="center"/>
    </xf>
    <xf numFmtId="164" fontId="31" fillId="0" borderId="5" xfId="2" applyNumberFormat="1" applyFont="1" applyBorder="1" applyAlignment="1">
      <alignment horizontal="center" vertical="center"/>
    </xf>
    <xf numFmtId="164" fontId="42" fillId="0" borderId="4" xfId="2" applyNumberFormat="1" applyFont="1" applyBorder="1" applyAlignment="1">
      <alignment horizontal="center" vertical="center" wrapText="1"/>
    </xf>
    <xf numFmtId="164" fontId="39" fillId="5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 vertical="center"/>
    </xf>
    <xf numFmtId="164" fontId="36" fillId="2" borderId="8" xfId="2" applyNumberFormat="1" applyFont="1" applyFill="1" applyBorder="1" applyAlignment="1">
      <alignment horizontal="center"/>
    </xf>
    <xf numFmtId="164" fontId="39" fillId="0" borderId="8" xfId="2" applyNumberFormat="1" applyFont="1" applyBorder="1" applyAlignment="1">
      <alignment horizontal="center"/>
    </xf>
    <xf numFmtId="164" fontId="39" fillId="0" borderId="4" xfId="2" applyNumberFormat="1" applyFont="1" applyBorder="1" applyAlignment="1">
      <alignment horizontal="center"/>
    </xf>
    <xf numFmtId="164" fontId="39" fillId="7" borderId="8" xfId="2" applyNumberFormat="1" applyFont="1" applyFill="1" applyBorder="1" applyAlignment="1">
      <alignment horizontal="center"/>
    </xf>
    <xf numFmtId="164" fontId="39" fillId="4" borderId="3" xfId="2" applyNumberFormat="1" applyFont="1" applyFill="1" applyBorder="1" applyAlignment="1">
      <alignment horizontal="center"/>
    </xf>
    <xf numFmtId="164" fontId="39" fillId="5" borderId="3" xfId="2" applyNumberFormat="1" applyFont="1" applyFill="1" applyBorder="1" applyAlignment="1">
      <alignment horizontal="center"/>
    </xf>
    <xf numFmtId="164" fontId="39" fillId="0" borderId="21" xfId="2" applyNumberFormat="1" applyFont="1" applyBorder="1" applyAlignment="1">
      <alignment horizontal="center"/>
    </xf>
    <xf numFmtId="0" fontId="43" fillId="0" borderId="8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 vertical="center"/>
    </xf>
    <xf numFmtId="164" fontId="39" fillId="5" borderId="8" xfId="2" applyNumberFormat="1" applyFont="1" applyFill="1" applyBorder="1" applyAlignment="1">
      <alignment vertical="center"/>
    </xf>
    <xf numFmtId="164" fontId="43" fillId="0" borderId="8" xfId="2" applyNumberFormat="1" applyFont="1" applyBorder="1" applyAlignment="1">
      <alignment horizontal="center" vertical="center"/>
    </xf>
    <xf numFmtId="164" fontId="36" fillId="0" borderId="8" xfId="2" applyNumberFormat="1" applyFont="1" applyBorder="1" applyAlignment="1">
      <alignment vertical="center"/>
    </xf>
    <xf numFmtId="164" fontId="39" fillId="0" borderId="8" xfId="2" applyNumberFormat="1" applyFont="1" applyBorder="1" applyAlignment="1">
      <alignment horizontal="center" vertical="center"/>
    </xf>
    <xf numFmtId="164" fontId="39" fillId="0" borderId="8" xfId="2" applyNumberFormat="1" applyFont="1" applyBorder="1" applyAlignment="1">
      <alignment vertical="center"/>
    </xf>
    <xf numFmtId="0" fontId="33" fillId="0" borderId="8" xfId="1" applyFont="1" applyBorder="1"/>
    <xf numFmtId="164" fontId="31" fillId="0" borderId="8" xfId="2" applyNumberFormat="1" applyFont="1" applyBorder="1" applyAlignment="1">
      <alignment horizontal="center"/>
    </xf>
    <xf numFmtId="43" fontId="33" fillId="0" borderId="8" xfId="2" applyFont="1" applyBorder="1"/>
    <xf numFmtId="0" fontId="33" fillId="16" borderId="12" xfId="1" applyFont="1" applyFill="1" applyBorder="1"/>
    <xf numFmtId="164" fontId="31" fillId="16" borderId="10" xfId="2" applyNumberFormat="1" applyFont="1" applyFill="1" applyBorder="1" applyAlignment="1">
      <alignment horizontal="center"/>
    </xf>
    <xf numFmtId="164" fontId="33" fillId="16" borderId="5" xfId="2" applyNumberFormat="1" applyFont="1" applyFill="1" applyBorder="1"/>
    <xf numFmtId="164" fontId="39" fillId="0" borderId="5" xfId="2" applyNumberFormat="1" applyFont="1" applyBorder="1" applyAlignment="1">
      <alignment horizontal="center"/>
    </xf>
    <xf numFmtId="43" fontId="33" fillId="0" borderId="4" xfId="2" applyFont="1" applyBorder="1"/>
    <xf numFmtId="0" fontId="39" fillId="0" borderId="1" xfId="0" applyFont="1" applyBorder="1" applyAlignment="1">
      <alignment horizontal="left" wrapText="1"/>
    </xf>
    <xf numFmtId="164" fontId="39" fillId="4" borderId="5" xfId="2" applyNumberFormat="1" applyFont="1" applyFill="1" applyBorder="1" applyAlignment="1">
      <alignment horizontal="center"/>
    </xf>
    <xf numFmtId="164" fontId="39" fillId="5" borderId="5" xfId="2" applyNumberFormat="1" applyFont="1" applyFill="1" applyBorder="1" applyAlignment="1">
      <alignment horizontal="center"/>
    </xf>
    <xf numFmtId="164" fontId="39" fillId="2" borderId="15" xfId="2" applyNumberFormat="1" applyFont="1" applyFill="1" applyBorder="1" applyAlignment="1">
      <alignment horizontal="center"/>
    </xf>
    <xf numFmtId="164" fontId="39" fillId="0" borderId="15" xfId="2" applyNumberFormat="1" applyFont="1" applyBorder="1" applyAlignment="1">
      <alignment horizontal="center"/>
    </xf>
    <xf numFmtId="164" fontId="39" fillId="0" borderId="19" xfId="2" applyNumberFormat="1" applyFont="1" applyBorder="1" applyAlignment="1">
      <alignment horizontal="center"/>
    </xf>
    <xf numFmtId="164" fontId="39" fillId="7" borderId="15" xfId="2" applyNumberFormat="1" applyFont="1" applyFill="1" applyBorder="1" applyAlignment="1">
      <alignment horizontal="center"/>
    </xf>
    <xf numFmtId="3" fontId="31" fillId="0" borderId="0" xfId="0" applyNumberFormat="1" applyFont="1"/>
    <xf numFmtId="164" fontId="39" fillId="0" borderId="0" xfId="2" applyNumberFormat="1" applyFont="1" applyAlignment="1">
      <alignment horizontal="center"/>
    </xf>
    <xf numFmtId="0" fontId="41" fillId="9" borderId="8" xfId="0" applyFont="1" applyFill="1" applyBorder="1" applyAlignment="1">
      <alignment wrapText="1"/>
    </xf>
    <xf numFmtId="164" fontId="39" fillId="0" borderId="7" xfId="2" applyNumberFormat="1" applyFont="1" applyBorder="1" applyAlignment="1">
      <alignment horizontal="center"/>
    </xf>
    <xf numFmtId="164" fontId="39" fillId="0" borderId="1" xfId="2" applyNumberFormat="1" applyFont="1" applyBorder="1" applyAlignment="1">
      <alignment horizontal="center"/>
    </xf>
    <xf numFmtId="164" fontId="45" fillId="0" borderId="1" xfId="2" applyNumberFormat="1" applyFont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wrapText="1"/>
    </xf>
    <xf numFmtId="164" fontId="43" fillId="9" borderId="8" xfId="2" applyNumberFormat="1" applyFont="1" applyFill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/>
    </xf>
    <xf numFmtId="164" fontId="43" fillId="9" borderId="5" xfId="2" applyNumberFormat="1" applyFont="1" applyFill="1" applyBorder="1" applyAlignment="1">
      <alignment horizontal="center"/>
    </xf>
    <xf numFmtId="0" fontId="31" fillId="0" borderId="2" xfId="0" applyFont="1" applyBorder="1" applyAlignment="1">
      <alignment wrapText="1"/>
    </xf>
    <xf numFmtId="164" fontId="43" fillId="9" borderId="3" xfId="2" applyNumberFormat="1" applyFont="1" applyFill="1" applyBorder="1" applyAlignment="1">
      <alignment horizontal="center"/>
    </xf>
    <xf numFmtId="0" fontId="42" fillId="0" borderId="0" xfId="0" applyFont="1"/>
    <xf numFmtId="164" fontId="39" fillId="4" borderId="10" xfId="2" applyNumberFormat="1" applyFont="1" applyFill="1" applyBorder="1" applyAlignment="1">
      <alignment horizontal="center"/>
    </xf>
    <xf numFmtId="164" fontId="39" fillId="5" borderId="10" xfId="2" applyNumberFormat="1" applyFont="1" applyFill="1" applyBorder="1" applyAlignment="1">
      <alignment horizontal="center"/>
    </xf>
    <xf numFmtId="164" fontId="43" fillId="9" borderId="10" xfId="2" applyNumberFormat="1" applyFont="1" applyFill="1" applyBorder="1" applyAlignment="1">
      <alignment horizontal="center"/>
    </xf>
    <xf numFmtId="164" fontId="39" fillId="0" borderId="10" xfId="2" applyNumberFormat="1" applyFont="1" applyBorder="1" applyAlignment="1">
      <alignment horizontal="center"/>
    </xf>
    <xf numFmtId="164" fontId="31" fillId="0" borderId="0" xfId="2" applyNumberFormat="1" applyFont="1" applyBorder="1" applyAlignment="1">
      <alignment horizontal="center"/>
    </xf>
    <xf numFmtId="43" fontId="33" fillId="0" borderId="0" xfId="2" applyFont="1" applyBorder="1"/>
    <xf numFmtId="164" fontId="39" fillId="0" borderId="0" xfId="2" applyNumberFormat="1" applyFont="1" applyBorder="1" applyAlignment="1">
      <alignment horizontal="center"/>
    </xf>
    <xf numFmtId="0" fontId="33" fillId="0" borderId="0" xfId="1" applyFont="1"/>
    <xf numFmtId="164" fontId="38" fillId="17" borderId="0" xfId="2" applyNumberFormat="1" applyFont="1" applyFill="1" applyAlignment="1">
      <alignment horizontal="center"/>
    </xf>
    <xf numFmtId="164" fontId="38" fillId="17" borderId="0" xfId="2" applyNumberFormat="1" applyFont="1" applyFill="1"/>
    <xf numFmtId="164" fontId="38" fillId="18" borderId="0" xfId="2" applyNumberFormat="1" applyFont="1" applyFill="1" applyAlignment="1">
      <alignment horizontal="center"/>
    </xf>
    <xf numFmtId="0" fontId="31" fillId="0" borderId="0" xfId="0" applyFont="1" applyAlignment="1">
      <alignment wrapText="1"/>
    </xf>
    <xf numFmtId="164" fontId="30" fillId="0" borderId="0" xfId="2" applyNumberFormat="1" applyFont="1" applyFill="1" applyBorder="1" applyAlignment="1">
      <alignment horizontal="center"/>
    </xf>
    <xf numFmtId="0" fontId="46" fillId="0" borderId="0" xfId="1" applyFont="1" applyAlignment="1">
      <alignment vertical="center"/>
    </xf>
    <xf numFmtId="164" fontId="31" fillId="0" borderId="0" xfId="2" applyNumberFormat="1" applyFont="1" applyBorder="1" applyAlignment="1">
      <alignment horizontal="center" vertical="center"/>
    </xf>
    <xf numFmtId="164" fontId="47" fillId="0" borderId="0" xfId="2" applyNumberFormat="1" applyFont="1" applyBorder="1" applyAlignment="1">
      <alignment vertical="center"/>
    </xf>
    <xf numFmtId="164" fontId="39" fillId="0" borderId="0" xfId="2" applyNumberFormat="1" applyFont="1" applyBorder="1" applyAlignment="1">
      <alignment horizontal="center" vertical="center"/>
    </xf>
    <xf numFmtId="43" fontId="34" fillId="0" borderId="0" xfId="2" applyFont="1" applyBorder="1" applyAlignment="1">
      <alignment vertical="center"/>
    </xf>
    <xf numFmtId="0" fontId="31" fillId="0" borderId="0" xfId="0" applyFont="1" applyAlignment="1">
      <alignment vertical="center"/>
    </xf>
    <xf numFmtId="164" fontId="39" fillId="17" borderId="5" xfId="2" applyNumberFormat="1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164" fontId="39" fillId="0" borderId="8" xfId="2" applyNumberFormat="1" applyFont="1" applyFill="1" applyBorder="1" applyAlignment="1">
      <alignment horizontal="center"/>
    </xf>
    <xf numFmtId="0" fontId="39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39" fillId="17" borderId="1" xfId="0" applyFont="1" applyFill="1" applyBorder="1" applyAlignment="1">
      <alignment horizontal="left" wrapText="1"/>
    </xf>
    <xf numFmtId="0" fontId="31" fillId="0" borderId="11" xfId="0" applyFont="1" applyBorder="1" applyAlignment="1">
      <alignment wrapText="1"/>
    </xf>
    <xf numFmtId="0" fontId="39" fillId="17" borderId="5" xfId="0" applyFont="1" applyFill="1" applyBorder="1" applyAlignment="1">
      <alignment horizontal="left" wrapText="1"/>
    </xf>
    <xf numFmtId="164" fontId="39" fillId="0" borderId="10" xfId="2" applyNumberFormat="1" applyFont="1" applyFill="1" applyBorder="1" applyAlignment="1">
      <alignment horizontal="center"/>
    </xf>
    <xf numFmtId="0" fontId="48" fillId="0" borderId="0" xfId="0" applyFont="1" applyAlignment="1">
      <alignment horizontal="right" wrapText="1"/>
    </xf>
    <xf numFmtId="164" fontId="48" fillId="0" borderId="0" xfId="2" applyNumberFormat="1" applyFont="1"/>
    <xf numFmtId="164" fontId="32" fillId="0" borderId="0" xfId="2" applyNumberFormat="1" applyFont="1"/>
    <xf numFmtId="164" fontId="38" fillId="16" borderId="0" xfId="2" applyNumberFormat="1" applyFont="1" applyFill="1" applyAlignment="1">
      <alignment horizontal="center"/>
    </xf>
    <xf numFmtId="164" fontId="38" fillId="0" borderId="0" xfId="2" applyNumberFormat="1" applyFont="1" applyAlignment="1">
      <alignment horizontal="right"/>
    </xf>
    <xf numFmtId="164" fontId="26" fillId="8" borderId="14" xfId="1" applyNumberFormat="1" applyFont="1" applyFill="1" applyBorder="1"/>
    <xf numFmtId="43" fontId="26" fillId="8" borderId="8" xfId="2" applyFont="1" applyFill="1" applyBorder="1"/>
    <xf numFmtId="164" fontId="4" fillId="16" borderId="17" xfId="2" applyNumberFormat="1" applyFont="1" applyFill="1" applyBorder="1"/>
    <xf numFmtId="0" fontId="4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39" fillId="4" borderId="3" xfId="2" applyNumberFormat="1" applyFont="1" applyFill="1" applyBorder="1"/>
    <xf numFmtId="164" fontId="39" fillId="5" borderId="3" xfId="2" applyNumberFormat="1" applyFont="1" applyFill="1" applyBorder="1" applyAlignment="1">
      <alignment vertical="center"/>
    </xf>
    <xf numFmtId="164" fontId="39" fillId="0" borderId="3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 wrapText="1"/>
    </xf>
    <xf numFmtId="164" fontId="42" fillId="0" borderId="8" xfId="2" applyNumberFormat="1" applyFont="1" applyBorder="1" applyAlignment="1">
      <alignment horizontal="center" vertical="center"/>
    </xf>
    <xf numFmtId="164" fontId="42" fillId="12" borderId="8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/>
    </xf>
    <xf numFmtId="2" fontId="4" fillId="0" borderId="8" xfId="1" applyNumberFormat="1" applyBorder="1"/>
    <xf numFmtId="0" fontId="4" fillId="0" borderId="8" xfId="1" applyBorder="1" applyAlignment="1">
      <alignment horizontal="left" wrapText="1"/>
    </xf>
    <xf numFmtId="2" fontId="4" fillId="0" borderId="8" xfId="1" applyNumberFormat="1" applyBorder="1" applyAlignment="1">
      <alignment wrapText="1"/>
    </xf>
    <xf numFmtId="164" fontId="39" fillId="16" borderId="4" xfId="2" applyNumberFormat="1" applyFont="1" applyFill="1" applyBorder="1" applyAlignment="1">
      <alignment horizontal="center"/>
    </xf>
    <xf numFmtId="164" fontId="39" fillId="16" borderId="11" xfId="2" applyNumberFormat="1" applyFont="1" applyFill="1" applyBorder="1" applyAlignment="1">
      <alignment horizontal="center"/>
    </xf>
    <xf numFmtId="164" fontId="39" fillId="16" borderId="10" xfId="2" applyNumberFormat="1" applyFont="1" applyFill="1" applyBorder="1" applyAlignment="1">
      <alignment horizontal="center"/>
    </xf>
    <xf numFmtId="164" fontId="39" fillId="16" borderId="8" xfId="2" applyNumberFormat="1" applyFont="1" applyFill="1" applyBorder="1" applyAlignment="1">
      <alignment horizontal="center"/>
    </xf>
    <xf numFmtId="164" fontId="43" fillId="19" borderId="8" xfId="2" applyNumberFormat="1" applyFont="1" applyFill="1" applyBorder="1" applyAlignment="1">
      <alignment horizontal="center"/>
    </xf>
    <xf numFmtId="164" fontId="43" fillId="19" borderId="5" xfId="2" applyNumberFormat="1" applyFont="1" applyFill="1" applyBorder="1" applyAlignment="1">
      <alignment horizontal="center"/>
    </xf>
    <xf numFmtId="164" fontId="36" fillId="19" borderId="5" xfId="2" applyNumberFormat="1" applyFont="1" applyFill="1" applyBorder="1" applyAlignment="1">
      <alignment horizontal="center"/>
    </xf>
    <xf numFmtId="164" fontId="43" fillId="19" borderId="10" xfId="2" applyNumberFormat="1" applyFont="1" applyFill="1" applyBorder="1" applyAlignment="1">
      <alignment horizontal="center"/>
    </xf>
    <xf numFmtId="164" fontId="4" fillId="20" borderId="8" xfId="2" applyNumberFormat="1" applyFont="1" applyFill="1" applyBorder="1"/>
    <xf numFmtId="164" fontId="4" fillId="20" borderId="13" xfId="2" applyNumberFormat="1" applyFont="1" applyFill="1" applyBorder="1"/>
    <xf numFmtId="164" fontId="4" fillId="20" borderId="5" xfId="2" applyNumberFormat="1" applyFont="1" applyFill="1" applyBorder="1"/>
    <xf numFmtId="164" fontId="4" fillId="20" borderId="14" xfId="2" applyNumberFormat="1" applyFont="1" applyFill="1" applyBorder="1"/>
    <xf numFmtId="0" fontId="49" fillId="0" borderId="1" xfId="1" applyFont="1" applyBorder="1"/>
    <xf numFmtId="0" fontId="49" fillId="0" borderId="1" xfId="1" applyFont="1" applyBorder="1" applyAlignment="1">
      <alignment horizontal="center"/>
    </xf>
    <xf numFmtId="0" fontId="50" fillId="0" borderId="1" xfId="1" applyFont="1" applyBorder="1"/>
    <xf numFmtId="0" fontId="50" fillId="0" borderId="0" xfId="1" applyFont="1"/>
    <xf numFmtId="0" fontId="51" fillId="0" borderId="0" xfId="0" applyFont="1"/>
    <xf numFmtId="0" fontId="50" fillId="0" borderId="17" xfId="1" applyFont="1" applyBorder="1" applyAlignment="1">
      <alignment horizontal="center"/>
    </xf>
    <xf numFmtId="0" fontId="50" fillId="0" borderId="3" xfId="1" applyFont="1" applyBorder="1" applyAlignment="1">
      <alignment horizontal="center"/>
    </xf>
    <xf numFmtId="0" fontId="50" fillId="0" borderId="8" xfId="1" applyFont="1" applyBorder="1" applyAlignment="1">
      <alignment wrapText="1"/>
    </xf>
    <xf numFmtId="164" fontId="51" fillId="0" borderId="8" xfId="2" applyNumberFormat="1" applyFont="1" applyBorder="1"/>
    <xf numFmtId="164" fontId="50" fillId="0" borderId="8" xfId="2" applyNumberFormat="1" applyFont="1" applyBorder="1"/>
    <xf numFmtId="0" fontId="50" fillId="0" borderId="7" xfId="1" applyFont="1" applyBorder="1"/>
    <xf numFmtId="3" fontId="49" fillId="8" borderId="5" xfId="1" applyNumberFormat="1" applyFont="1" applyFill="1" applyBorder="1"/>
    <xf numFmtId="0" fontId="51" fillId="0" borderId="0" xfId="0" applyFont="1" applyAlignment="1">
      <alignment horizontal="center"/>
    </xf>
    <xf numFmtId="3" fontId="51" fillId="0" borderId="0" xfId="0" applyNumberFormat="1" applyFont="1" applyAlignment="1">
      <alignment horizontal="center"/>
    </xf>
    <xf numFmtId="164" fontId="52" fillId="0" borderId="8" xfId="2" applyNumberFormat="1" applyFont="1" applyBorder="1"/>
    <xf numFmtId="164" fontId="4" fillId="0" borderId="5" xfId="2" applyNumberFormat="1" applyFont="1" applyFill="1" applyBorder="1" applyAlignment="1">
      <alignment horizontal="center"/>
    </xf>
    <xf numFmtId="164" fontId="4" fillId="0" borderId="14" xfId="2" applyNumberFormat="1" applyFont="1" applyFill="1" applyBorder="1"/>
    <xf numFmtId="43" fontId="4" fillId="17" borderId="8" xfId="2" applyFont="1" applyFill="1" applyBorder="1"/>
    <xf numFmtId="0" fontId="26" fillId="14" borderId="8" xfId="1" applyFont="1" applyFill="1" applyBorder="1"/>
    <xf numFmtId="0" fontId="4" fillId="0" borderId="7" xfId="1" applyFont="1" applyBorder="1"/>
    <xf numFmtId="0" fontId="4" fillId="0" borderId="1" xfId="1" applyFill="1" applyBorder="1"/>
    <xf numFmtId="0" fontId="50" fillId="16" borderId="7" xfId="1" applyFont="1" applyFill="1" applyBorder="1"/>
    <xf numFmtId="164" fontId="50" fillId="16" borderId="8" xfId="2" applyNumberFormat="1" applyFont="1" applyFill="1" applyBorder="1"/>
    <xf numFmtId="164" fontId="37" fillId="0" borderId="0" xfId="2" applyNumberFormat="1" applyFont="1"/>
    <xf numFmtId="0" fontId="2" fillId="0" borderId="6" xfId="0" applyFont="1" applyBorder="1" applyAlignment="1">
      <alignment wrapText="1"/>
    </xf>
    <xf numFmtId="43" fontId="36" fillId="0" borderId="0" xfId="2" applyNumberFormat="1" applyFont="1"/>
    <xf numFmtId="0" fontId="53" fillId="0" borderId="8" xfId="1" applyFont="1" applyBorder="1"/>
    <xf numFmtId="0" fontId="54" fillId="0" borderId="1" xfId="1" applyFont="1" applyBorder="1"/>
    <xf numFmtId="43" fontId="39" fillId="0" borderId="1" xfId="0" applyNumberFormat="1" applyFont="1" applyBorder="1" applyAlignment="1">
      <alignment vertical="center" wrapText="1"/>
    </xf>
    <xf numFmtId="0" fontId="4" fillId="0" borderId="6" xfId="1" applyBorder="1" applyAlignment="1">
      <alignment wrapText="1"/>
    </xf>
    <xf numFmtId="0" fontId="4" fillId="0" borderId="1" xfId="1" applyFont="1" applyBorder="1"/>
    <xf numFmtId="0" fontId="4" fillId="0" borderId="0" xfId="1" applyBorder="1"/>
    <xf numFmtId="0" fontId="1" fillId="0" borderId="6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1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11" borderId="4" xfId="0" applyFont="1" applyFill="1" applyBorder="1"/>
    <xf numFmtId="0" fontId="16" fillId="11" borderId="1" xfId="0" applyFont="1" applyFill="1" applyBorder="1"/>
    <xf numFmtId="0" fontId="16" fillId="11" borderId="14" xfId="0" applyFont="1" applyFill="1" applyBorder="1"/>
    <xf numFmtId="0" fontId="17" fillId="15" borderId="2" xfId="0" applyFont="1" applyFill="1" applyBorder="1"/>
    <xf numFmtId="0" fontId="18" fillId="15" borderId="16" xfId="0" applyFont="1" applyFill="1" applyBorder="1"/>
    <xf numFmtId="0" fontId="18" fillId="15" borderId="17" xfId="0" applyFont="1" applyFill="1" applyBorder="1"/>
    <xf numFmtId="0" fontId="16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0" fillId="0" borderId="19" xfId="0" applyFont="1" applyBorder="1"/>
    <xf numFmtId="0" fontId="12" fillId="0" borderId="18" xfId="0" applyFont="1" applyBorder="1"/>
    <xf numFmtId="0" fontId="12" fillId="0" borderId="20" xfId="0" applyFont="1" applyBorder="1"/>
    <xf numFmtId="0" fontId="8" fillId="0" borderId="0" xfId="0" applyFont="1"/>
    <xf numFmtId="0" fontId="17" fillId="11" borderId="2" xfId="0" applyFont="1" applyFill="1" applyBorder="1"/>
    <xf numFmtId="0" fontId="17" fillId="11" borderId="16" xfId="0" applyFont="1" applyFill="1" applyBorder="1"/>
    <xf numFmtId="0" fontId="17" fillId="11" borderId="16" xfId="0" applyFont="1" applyFill="1" applyBorder="1" applyAlignment="1">
      <alignment horizontal="center"/>
    </xf>
    <xf numFmtId="164" fontId="36" fillId="16" borderId="0" xfId="2" applyNumberFormat="1" applyFont="1" applyFill="1" applyAlignment="1">
      <alignment horizontal="center" vertical="center"/>
    </xf>
    <xf numFmtId="164" fontId="38" fillId="17" borderId="0" xfId="2" applyNumberFormat="1" applyFont="1" applyFill="1" applyAlignment="1">
      <alignment horizontal="center" vertical="center"/>
    </xf>
    <xf numFmtId="164" fontId="36" fillId="18" borderId="0" xfId="2" applyNumberFormat="1" applyFont="1" applyFill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/>
    <xf numFmtId="164" fontId="57" fillId="0" borderId="0" xfId="2" applyNumberFormat="1" applyFont="1" applyAlignment="1">
      <alignment horizontal="center"/>
    </xf>
    <xf numFmtId="164" fontId="58" fillId="0" borderId="1" xfId="2" applyNumberFormat="1" applyFont="1" applyBorder="1" applyAlignment="1">
      <alignment horizontal="center" vertical="center"/>
    </xf>
    <xf numFmtId="43" fontId="58" fillId="0" borderId="1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382" t="s">
        <v>1</v>
      </c>
      <c r="B3" s="383"/>
      <c r="C3" s="383"/>
      <c r="D3" s="383"/>
      <c r="E3" s="384"/>
      <c r="F3" s="373" t="s">
        <v>2</v>
      </c>
      <c r="G3" s="373" t="s">
        <v>2</v>
      </c>
      <c r="H3" s="9" t="s">
        <v>3</v>
      </c>
      <c r="I3" s="386" t="s">
        <v>4</v>
      </c>
      <c r="J3" s="386" t="s">
        <v>5</v>
      </c>
      <c r="K3" s="386" t="s">
        <v>6</v>
      </c>
      <c r="L3" s="386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73" t="s">
        <v>10</v>
      </c>
      <c r="V3" s="373" t="s">
        <v>11</v>
      </c>
      <c r="W3" s="375" t="s">
        <v>12</v>
      </c>
    </row>
    <row r="4" spans="1:23" ht="0.75" customHeight="1" x14ac:dyDescent="0.25">
      <c r="A4" s="12"/>
      <c r="B4" s="13"/>
      <c r="C4" s="13"/>
      <c r="D4" s="13"/>
      <c r="E4" s="13"/>
      <c r="F4" s="385"/>
      <c r="G4" s="385"/>
      <c r="H4" s="14" t="s">
        <v>13</v>
      </c>
      <c r="I4" s="387"/>
      <c r="J4" s="387"/>
      <c r="K4" s="387"/>
      <c r="L4" s="387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85"/>
      <c r="V4" s="374"/>
      <c r="W4" s="376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77" t="s">
        <v>25</v>
      </c>
      <c r="B10" s="378"/>
      <c r="C10" s="378"/>
      <c r="D10" s="378"/>
      <c r="E10" s="379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380" t="s">
        <v>26</v>
      </c>
      <c r="B11" s="381"/>
      <c r="C11" s="381"/>
      <c r="D11" s="381"/>
      <c r="E11" s="381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связь!B8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эл.снабж!B60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транспорт'!B30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'благ-во'!B50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фонд'!B54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97" t="s">
        <v>48</v>
      </c>
      <c r="B32" s="398"/>
      <c r="C32" s="398"/>
      <c r="D32" s="398"/>
      <c r="E32" s="399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00" t="s">
        <v>49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90"/>
      <c r="W34" s="90"/>
    </row>
    <row r="35" spans="1:23" x14ac:dyDescent="0.25">
      <c r="A35" s="401" t="s">
        <v>50</v>
      </c>
      <c r="B35" s="402"/>
      <c r="C35" s="402"/>
      <c r="D35" s="402"/>
      <c r="E35" s="402"/>
      <c r="F35" s="403"/>
      <c r="G35" s="403"/>
      <c r="H35" s="402"/>
      <c r="I35" s="403"/>
      <c r="J35" s="403"/>
      <c r="K35" s="403"/>
      <c r="L35" s="402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88" t="s">
        <v>51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90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91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3"/>
      <c r="V38" s="90"/>
      <c r="W38" s="90"/>
    </row>
    <row r="39" spans="1:23" x14ac:dyDescent="0.25">
      <c r="A39" s="394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6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0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N4" sqref="N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71"/>
      <c r="J1" s="371"/>
      <c r="K1" s="371"/>
      <c r="L1" s="371"/>
      <c r="M1" s="371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>
        <v>458200</v>
      </c>
      <c r="J3" s="179"/>
      <c r="K3" s="179"/>
      <c r="L3" s="179"/>
      <c r="M3" s="179"/>
      <c r="N3" s="179">
        <f>SUM(B3:M3)</f>
        <v>2361200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>26263.22+26263.22</f>
        <v>52526.44</v>
      </c>
      <c r="J5" s="179"/>
      <c r="K5" s="179"/>
      <c r="L5" s="179"/>
      <c r="M5" s="179"/>
      <c r="N5" s="179">
        <f t="shared" si="0"/>
        <v>220207.02</v>
      </c>
    </row>
    <row r="6" spans="1:14" x14ac:dyDescent="0.25">
      <c r="A6" s="152" t="s">
        <v>292</v>
      </c>
      <c r="B6" s="179"/>
      <c r="C6" s="179"/>
      <c r="D6" s="179"/>
      <c r="E6" s="179"/>
      <c r="F6" s="179"/>
      <c r="G6" s="179">
        <v>67300</v>
      </c>
      <c r="H6" s="179"/>
      <c r="I6" s="179">
        <v>3643.75</v>
      </c>
      <c r="J6" s="179"/>
      <c r="K6" s="179"/>
      <c r="L6" s="179"/>
      <c r="M6" s="179"/>
      <c r="N6" s="179">
        <f t="shared" si="0"/>
        <v>70943.75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514370.19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2652350.77</v>
      </c>
    </row>
    <row r="12" spans="1:14" x14ac:dyDescent="0.25">
      <c r="N12" s="160">
        <f>SUM(B10:M10)-N10</f>
        <v>0</v>
      </c>
    </row>
  </sheetData>
  <phoneticPr fontId="20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B3" sqref="B3:K23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6" t="s">
        <v>120</v>
      </c>
      <c r="B3" s="315">
        <v>54965</v>
      </c>
      <c r="C3" s="185"/>
      <c r="D3" s="315">
        <v>33876</v>
      </c>
      <c r="E3" s="190"/>
      <c r="F3" s="190"/>
      <c r="G3" s="315">
        <v>32088</v>
      </c>
      <c r="H3" s="190"/>
      <c r="I3" s="190"/>
      <c r="J3" s="185"/>
      <c r="K3" s="185"/>
      <c r="L3" s="185"/>
      <c r="M3" s="185"/>
      <c r="N3" s="179">
        <f t="shared" ref="N3:N30" si="0">SUM(B3:M3)</f>
        <v>120929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>
        <v>6240</v>
      </c>
      <c r="J4" s="185"/>
      <c r="K4" s="185"/>
      <c r="L4" s="185"/>
      <c r="M4" s="185"/>
      <c r="N4" s="179">
        <f t="shared" si="0"/>
        <v>13800</v>
      </c>
    </row>
    <row r="5" spans="1:14" x14ac:dyDescent="0.25">
      <c r="A5" s="152" t="s">
        <v>189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203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75" t="s">
        <v>247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264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275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293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305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315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316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344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345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 t="s">
        <v>357</v>
      </c>
      <c r="B16" s="179"/>
      <c r="C16" s="179"/>
      <c r="D16" s="179"/>
      <c r="E16" s="179"/>
      <c r="F16" s="179"/>
      <c r="G16" s="179"/>
      <c r="H16" s="179"/>
      <c r="I16" s="179">
        <f>40000+20000</f>
        <v>60000</v>
      </c>
      <c r="J16" s="179"/>
      <c r="K16" s="179"/>
      <c r="L16" s="179"/>
      <c r="M16" s="179"/>
      <c r="N16" s="179">
        <f t="shared" si="0"/>
        <v>60000</v>
      </c>
    </row>
    <row r="17" spans="1:14" ht="15" customHeight="1" x14ac:dyDescent="0.25">
      <c r="A17" s="152" t="s">
        <v>361</v>
      </c>
      <c r="B17" s="179"/>
      <c r="C17" s="179"/>
      <c r="D17" s="179"/>
      <c r="E17" s="179"/>
      <c r="F17" s="179"/>
      <c r="G17" s="179"/>
      <c r="H17" s="179"/>
      <c r="I17" s="179">
        <v>1500</v>
      </c>
      <c r="J17" s="179"/>
      <c r="K17" s="179"/>
      <c r="L17" s="179"/>
      <c r="M17" s="179"/>
      <c r="N17" s="179">
        <f t="shared" si="0"/>
        <v>1500</v>
      </c>
    </row>
    <row r="18" spans="1:14" ht="15" customHeight="1" x14ac:dyDescent="0.25">
      <c r="A18" s="152" t="s">
        <v>361</v>
      </c>
      <c r="B18" s="179"/>
      <c r="C18" s="179"/>
      <c r="D18" s="179"/>
      <c r="E18" s="179"/>
      <c r="F18" s="179"/>
      <c r="G18" s="179"/>
      <c r="H18" s="179"/>
      <c r="I18" s="179">
        <v>950</v>
      </c>
      <c r="J18" s="179"/>
      <c r="K18" s="179"/>
      <c r="L18" s="179"/>
      <c r="M18" s="179"/>
      <c r="N18" s="179">
        <f t="shared" si="0"/>
        <v>950</v>
      </c>
    </row>
    <row r="19" spans="1:14" ht="15" customHeight="1" x14ac:dyDescent="0.25">
      <c r="A19" s="152" t="s">
        <v>362</v>
      </c>
      <c r="B19" s="179"/>
      <c r="C19" s="179"/>
      <c r="D19" s="179"/>
      <c r="E19" s="179"/>
      <c r="F19" s="179"/>
      <c r="G19" s="179"/>
      <c r="H19" s="179"/>
      <c r="I19" s="179">
        <v>3700</v>
      </c>
      <c r="J19" s="179"/>
      <c r="K19" s="179"/>
      <c r="L19" s="179"/>
      <c r="M19" s="179"/>
      <c r="N19" s="179">
        <f t="shared" si="0"/>
        <v>3700</v>
      </c>
    </row>
    <row r="20" spans="1:14" ht="15" customHeight="1" x14ac:dyDescent="0.25">
      <c r="A20" s="152" t="s">
        <v>366</v>
      </c>
      <c r="B20" s="179"/>
      <c r="C20" s="179"/>
      <c r="D20" s="179"/>
      <c r="E20" s="179"/>
      <c r="F20" s="179"/>
      <c r="G20" s="179"/>
      <c r="H20" s="179"/>
      <c r="I20" s="179">
        <v>795</v>
      </c>
      <c r="J20" s="179"/>
      <c r="K20" s="179"/>
      <c r="L20" s="179"/>
      <c r="M20" s="179"/>
      <c r="N20" s="179">
        <f t="shared" si="0"/>
        <v>795</v>
      </c>
    </row>
    <row r="21" spans="1:14" ht="15" customHeight="1" x14ac:dyDescent="0.25">
      <c r="A21" s="152" t="s">
        <v>203</v>
      </c>
      <c r="B21" s="179"/>
      <c r="C21" s="179"/>
      <c r="D21" s="179"/>
      <c r="E21" s="179"/>
      <c r="F21" s="179"/>
      <c r="G21" s="179"/>
      <c r="H21" s="179"/>
      <c r="I21" s="179">
        <v>500</v>
      </c>
      <c r="J21" s="179"/>
      <c r="K21" s="179"/>
      <c r="L21" s="179"/>
      <c r="M21" s="179"/>
      <c r="N21" s="179">
        <f t="shared" si="0"/>
        <v>500</v>
      </c>
    </row>
    <row r="22" spans="1:14" ht="15" customHeight="1" x14ac:dyDescent="0.25">
      <c r="A22" s="152" t="s">
        <v>367</v>
      </c>
      <c r="B22" s="179"/>
      <c r="C22" s="179"/>
      <c r="D22" s="179"/>
      <c r="E22" s="179"/>
      <c r="F22" s="179"/>
      <c r="G22" s="179"/>
      <c r="H22" s="179"/>
      <c r="I22" s="179">
        <v>450</v>
      </c>
      <c r="J22" s="179"/>
      <c r="K22" s="179"/>
      <c r="L22" s="179"/>
      <c r="M22" s="179"/>
      <c r="N22" s="179">
        <f t="shared" si="0"/>
        <v>450</v>
      </c>
    </row>
    <row r="23" spans="1:14" ht="15" customHeight="1" x14ac:dyDescent="0.25">
      <c r="A23" s="15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1231</v>
      </c>
      <c r="I31" s="153">
        <f t="shared" si="1"/>
        <v>74135</v>
      </c>
      <c r="J31" s="153">
        <f t="shared" si="1"/>
        <v>0</v>
      </c>
      <c r="K31" s="153">
        <f t="shared" si="1"/>
        <v>0</v>
      </c>
      <c r="L31" s="153">
        <f t="shared" si="1"/>
        <v>0</v>
      </c>
      <c r="M31" s="153">
        <f t="shared" si="1"/>
        <v>0</v>
      </c>
      <c r="N31" s="153">
        <f t="shared" si="1"/>
        <v>321358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0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61"/>
  <sheetViews>
    <sheetView topLeftCell="A25" workbookViewId="0">
      <selection activeCell="A50" sqref="A50"/>
    </sheetView>
  </sheetViews>
  <sheetFormatPr defaultRowHeight="14.25" x14ac:dyDescent="0.2"/>
  <cols>
    <col min="1" max="1" width="38.7109375" style="344" bestFit="1" customWidth="1"/>
    <col min="2" max="2" width="11.7109375" style="352" bestFit="1" customWidth="1"/>
    <col min="3" max="3" width="10.42578125" style="344" bestFit="1" customWidth="1"/>
    <col min="4" max="4" width="10.28515625" style="344" bestFit="1" customWidth="1"/>
    <col min="5" max="5" width="10.42578125" style="344" bestFit="1" customWidth="1"/>
    <col min="6" max="6" width="10.28515625" style="344" bestFit="1" customWidth="1"/>
    <col min="7" max="7" width="9" style="344" customWidth="1"/>
    <col min="8" max="8" width="10.42578125" style="344" bestFit="1" customWidth="1"/>
    <col min="9" max="9" width="11.5703125" style="344" bestFit="1" customWidth="1"/>
    <col min="10" max="10" width="8.42578125" style="344" bestFit="1" customWidth="1"/>
    <col min="11" max="11" width="6.7109375" style="344" bestFit="1" customWidth="1"/>
    <col min="12" max="12" width="7.7109375" style="344" bestFit="1" customWidth="1"/>
    <col min="13" max="13" width="7.28515625" style="344" bestFit="1" customWidth="1"/>
    <col min="14" max="14" width="12" style="344" bestFit="1" customWidth="1"/>
    <col min="15" max="16384" width="9.140625" style="344"/>
  </cols>
  <sheetData>
    <row r="1" spans="1:15" x14ac:dyDescent="0.2">
      <c r="A1" s="340" t="s">
        <v>113</v>
      </c>
      <c r="B1" s="341" t="str">
        <f>'ВСЕ затраты'!B1</f>
        <v>2023-2024гг.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3"/>
    </row>
    <row r="2" spans="1:15" x14ac:dyDescent="0.2">
      <c r="A2" s="343"/>
      <c r="B2" s="345" t="s">
        <v>9</v>
      </c>
      <c r="C2" s="346" t="s">
        <v>14</v>
      </c>
      <c r="D2" s="345" t="s">
        <v>15</v>
      </c>
      <c r="E2" s="346" t="s">
        <v>16</v>
      </c>
      <c r="F2" s="345" t="s">
        <v>17</v>
      </c>
      <c r="G2" s="346" t="s">
        <v>18</v>
      </c>
      <c r="H2" s="345" t="s">
        <v>19</v>
      </c>
      <c r="I2" s="346" t="s">
        <v>4</v>
      </c>
      <c r="J2" s="345" t="s">
        <v>5</v>
      </c>
      <c r="K2" s="346" t="s">
        <v>6</v>
      </c>
      <c r="L2" s="345" t="s">
        <v>7</v>
      </c>
      <c r="M2" s="346" t="s">
        <v>8</v>
      </c>
      <c r="N2" s="346" t="s">
        <v>91</v>
      </c>
    </row>
    <row r="3" spans="1:15" x14ac:dyDescent="0.2">
      <c r="A3" s="347" t="s">
        <v>188</v>
      </c>
      <c r="B3" s="348"/>
      <c r="C3" s="354">
        <v>16300</v>
      </c>
      <c r="D3" s="348"/>
      <c r="E3" s="348">
        <v>16300</v>
      </c>
      <c r="F3" s="348">
        <v>16300</v>
      </c>
      <c r="G3" s="348"/>
      <c r="H3" s="348">
        <v>16300</v>
      </c>
      <c r="I3" s="348">
        <f>129320</f>
        <v>129320</v>
      </c>
      <c r="J3" s="348"/>
      <c r="K3" s="348"/>
      <c r="L3" s="348"/>
      <c r="M3" s="349"/>
      <c r="N3" s="349">
        <f t="shared" ref="N3:N58" si="0">SUM(B3:M3)</f>
        <v>194520</v>
      </c>
    </row>
    <row r="4" spans="1:15" x14ac:dyDescent="0.2">
      <c r="A4" s="350" t="s">
        <v>153</v>
      </c>
      <c r="B4" s="349">
        <v>4000</v>
      </c>
      <c r="C4" s="349"/>
      <c r="D4" s="349"/>
      <c r="E4" s="349"/>
      <c r="F4" s="349"/>
      <c r="G4" s="349">
        <v>6000</v>
      </c>
      <c r="H4" s="349"/>
      <c r="I4" s="349"/>
      <c r="J4" s="349"/>
      <c r="K4" s="349"/>
      <c r="L4" s="349"/>
      <c r="M4" s="349"/>
      <c r="N4" s="349">
        <f t="shared" si="0"/>
        <v>10000</v>
      </c>
    </row>
    <row r="5" spans="1:15" x14ac:dyDescent="0.2">
      <c r="A5" s="350" t="s">
        <v>130</v>
      </c>
      <c r="B5" s="349">
        <v>13740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>
        <f t="shared" si="0"/>
        <v>13740</v>
      </c>
    </row>
    <row r="6" spans="1:15" x14ac:dyDescent="0.2">
      <c r="A6" s="350" t="s">
        <v>159</v>
      </c>
      <c r="B6" s="349">
        <v>400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>
        <f t="shared" si="0"/>
        <v>400</v>
      </c>
    </row>
    <row r="7" spans="1:15" x14ac:dyDescent="0.2">
      <c r="A7" s="350" t="s">
        <v>158</v>
      </c>
      <c r="B7" s="349">
        <v>2590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>
        <f t="shared" si="0"/>
        <v>2590</v>
      </c>
    </row>
    <row r="8" spans="1:15" x14ac:dyDescent="0.2">
      <c r="A8" s="350" t="s">
        <v>167</v>
      </c>
      <c r="B8" s="349">
        <f>770+610</f>
        <v>1380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>
        <f t="shared" si="0"/>
        <v>1380</v>
      </c>
    </row>
    <row r="9" spans="1:15" x14ac:dyDescent="0.2">
      <c r="A9" s="350" t="s">
        <v>168</v>
      </c>
      <c r="B9" s="349">
        <v>12495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>
        <f t="shared" si="0"/>
        <v>12495</v>
      </c>
    </row>
    <row r="10" spans="1:15" x14ac:dyDescent="0.2">
      <c r="A10" s="350" t="s">
        <v>169</v>
      </c>
      <c r="B10" s="349">
        <v>780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>
        <f t="shared" si="0"/>
        <v>780</v>
      </c>
    </row>
    <row r="11" spans="1:15" x14ac:dyDescent="0.2">
      <c r="A11" s="350" t="s">
        <v>190</v>
      </c>
      <c r="B11" s="349"/>
      <c r="C11" s="349">
        <v>18963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>
        <f t="shared" si="0"/>
        <v>18963</v>
      </c>
    </row>
    <row r="12" spans="1:15" x14ac:dyDescent="0.2">
      <c r="A12" s="350" t="s">
        <v>190</v>
      </c>
      <c r="B12" s="349"/>
      <c r="C12" s="349">
        <v>33468.879999999997</v>
      </c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>
        <f t="shared" si="0"/>
        <v>33468.879999999997</v>
      </c>
    </row>
    <row r="13" spans="1:15" x14ac:dyDescent="0.2">
      <c r="A13" s="350" t="s">
        <v>192</v>
      </c>
      <c r="B13" s="349"/>
      <c r="C13" s="349">
        <v>25500</v>
      </c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>
        <f t="shared" si="0"/>
        <v>25500</v>
      </c>
    </row>
    <row r="14" spans="1:15" x14ac:dyDescent="0.2">
      <c r="A14" s="350" t="s">
        <v>193</v>
      </c>
      <c r="B14" s="349"/>
      <c r="C14" s="349">
        <v>28000</v>
      </c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>
        <f t="shared" si="0"/>
        <v>28000</v>
      </c>
    </row>
    <row r="15" spans="1:15" x14ac:dyDescent="0.2">
      <c r="A15" s="350" t="s">
        <v>194</v>
      </c>
      <c r="B15" s="349"/>
      <c r="C15" s="349">
        <v>53424</v>
      </c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>
        <f t="shared" si="0"/>
        <v>53424</v>
      </c>
      <c r="O15" s="344" t="s">
        <v>237</v>
      </c>
    </row>
    <row r="16" spans="1:15" x14ac:dyDescent="0.2">
      <c r="A16" s="350" t="s">
        <v>144</v>
      </c>
      <c r="B16" s="349"/>
      <c r="C16" s="349">
        <v>85</v>
      </c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>
        <f t="shared" si="0"/>
        <v>85</v>
      </c>
    </row>
    <row r="17" spans="1:14" x14ac:dyDescent="0.2">
      <c r="A17" s="350" t="s">
        <v>204</v>
      </c>
      <c r="B17" s="349"/>
      <c r="C17" s="349">
        <v>2000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>
        <f t="shared" si="0"/>
        <v>2000</v>
      </c>
    </row>
    <row r="18" spans="1:14" x14ac:dyDescent="0.2">
      <c r="A18" s="350" t="s">
        <v>225</v>
      </c>
      <c r="B18" s="349"/>
      <c r="C18" s="349"/>
      <c r="D18" s="349">
        <v>300</v>
      </c>
      <c r="E18" s="349"/>
      <c r="F18" s="349"/>
      <c r="G18" s="349"/>
      <c r="H18" s="349"/>
      <c r="I18" s="349"/>
      <c r="J18" s="349"/>
      <c r="K18" s="349"/>
      <c r="L18" s="349"/>
      <c r="M18" s="349"/>
      <c r="N18" s="349">
        <f t="shared" si="0"/>
        <v>300</v>
      </c>
    </row>
    <row r="19" spans="1:14" x14ac:dyDescent="0.2">
      <c r="A19" s="350" t="s">
        <v>226</v>
      </c>
      <c r="B19" s="349"/>
      <c r="C19" s="349"/>
      <c r="D19" s="349">
        <v>1820</v>
      </c>
      <c r="E19" s="349"/>
      <c r="F19" s="349"/>
      <c r="G19" s="349"/>
      <c r="H19" s="349"/>
      <c r="I19" s="349"/>
      <c r="J19" s="349"/>
      <c r="K19" s="349"/>
      <c r="L19" s="349"/>
      <c r="M19" s="349"/>
      <c r="N19" s="349">
        <f t="shared" si="0"/>
        <v>1820</v>
      </c>
    </row>
    <row r="20" spans="1:14" x14ac:dyDescent="0.2">
      <c r="A20" s="350" t="s">
        <v>228</v>
      </c>
      <c r="B20" s="349"/>
      <c r="C20" s="349"/>
      <c r="D20" s="349">
        <v>344</v>
      </c>
      <c r="E20" s="349"/>
      <c r="F20" s="349"/>
      <c r="G20" s="349"/>
      <c r="H20" s="349"/>
      <c r="I20" s="349"/>
      <c r="J20" s="349"/>
      <c r="K20" s="349"/>
      <c r="L20" s="349"/>
      <c r="M20" s="349"/>
      <c r="N20" s="349">
        <f t="shared" si="0"/>
        <v>344</v>
      </c>
    </row>
    <row r="21" spans="1:14" x14ac:dyDescent="0.2">
      <c r="A21" s="350" t="s">
        <v>243</v>
      </c>
      <c r="B21" s="349"/>
      <c r="C21" s="349"/>
      <c r="D21" s="349"/>
      <c r="E21" s="349">
        <v>32400</v>
      </c>
      <c r="F21" s="349"/>
      <c r="G21" s="349"/>
      <c r="H21" s="349"/>
      <c r="I21" s="349"/>
      <c r="J21" s="349"/>
      <c r="K21" s="349"/>
      <c r="L21" s="349"/>
      <c r="M21" s="349"/>
      <c r="N21" s="349">
        <f t="shared" si="0"/>
        <v>32400</v>
      </c>
    </row>
    <row r="22" spans="1:14" x14ac:dyDescent="0.2">
      <c r="A22" s="350" t="s">
        <v>256</v>
      </c>
      <c r="B22" s="349"/>
      <c r="C22" s="349"/>
      <c r="D22" s="349"/>
      <c r="E22" s="349">
        <v>1400</v>
      </c>
      <c r="F22" s="349">
        <f>1900+420</f>
        <v>2320</v>
      </c>
      <c r="G22" s="349"/>
      <c r="H22" s="349"/>
      <c r="I22" s="349"/>
      <c r="J22" s="349"/>
      <c r="K22" s="349"/>
      <c r="L22" s="349"/>
      <c r="M22" s="349"/>
      <c r="N22" s="349">
        <f t="shared" si="0"/>
        <v>3720</v>
      </c>
    </row>
    <row r="23" spans="1:14" x14ac:dyDescent="0.2">
      <c r="A23" s="350" t="s">
        <v>257</v>
      </c>
      <c r="B23" s="349"/>
      <c r="C23" s="349"/>
      <c r="D23" s="349"/>
      <c r="E23" s="349">
        <f>570+462</f>
        <v>1032</v>
      </c>
      <c r="F23" s="349"/>
      <c r="G23" s="349"/>
      <c r="H23" s="349"/>
      <c r="I23" s="349"/>
      <c r="J23" s="349"/>
      <c r="K23" s="349"/>
      <c r="L23" s="349"/>
      <c r="M23" s="349"/>
      <c r="N23" s="349">
        <f t="shared" si="0"/>
        <v>1032</v>
      </c>
    </row>
    <row r="24" spans="1:14" x14ac:dyDescent="0.2">
      <c r="A24" s="350" t="s">
        <v>258</v>
      </c>
      <c r="B24" s="349"/>
      <c r="C24" s="349"/>
      <c r="D24" s="349"/>
      <c r="E24" s="349">
        <v>4600</v>
      </c>
      <c r="F24" s="349"/>
      <c r="G24" s="349"/>
      <c r="H24" s="349"/>
      <c r="I24" s="349"/>
      <c r="J24" s="349"/>
      <c r="K24" s="349"/>
      <c r="L24" s="349"/>
      <c r="M24" s="349"/>
      <c r="N24" s="349">
        <f t="shared" si="0"/>
        <v>4600</v>
      </c>
    </row>
    <row r="25" spans="1:14" x14ac:dyDescent="0.2">
      <c r="A25" s="350" t="s">
        <v>259</v>
      </c>
      <c r="B25" s="349"/>
      <c r="C25" s="349"/>
      <c r="D25" s="349"/>
      <c r="E25" s="349">
        <v>1300</v>
      </c>
      <c r="F25" s="349"/>
      <c r="G25" s="349"/>
      <c r="H25" s="349"/>
      <c r="I25" s="349"/>
      <c r="J25" s="349"/>
      <c r="K25" s="349"/>
      <c r="L25" s="349"/>
      <c r="M25" s="349"/>
      <c r="N25" s="349">
        <f t="shared" si="0"/>
        <v>1300</v>
      </c>
    </row>
    <row r="26" spans="1:14" x14ac:dyDescent="0.2">
      <c r="A26" s="350" t="s">
        <v>261</v>
      </c>
      <c r="B26" s="349"/>
      <c r="C26" s="349"/>
      <c r="D26" s="349"/>
      <c r="E26" s="349">
        <v>1340</v>
      </c>
      <c r="F26" s="349"/>
      <c r="G26" s="349"/>
      <c r="H26" s="349"/>
      <c r="I26" s="349"/>
      <c r="J26" s="349"/>
      <c r="K26" s="349"/>
      <c r="L26" s="349"/>
      <c r="M26" s="349"/>
      <c r="N26" s="349">
        <f t="shared" si="0"/>
        <v>1340</v>
      </c>
    </row>
    <row r="27" spans="1:14" x14ac:dyDescent="0.2">
      <c r="A27" s="350" t="s">
        <v>260</v>
      </c>
      <c r="B27" s="349"/>
      <c r="C27" s="349"/>
      <c r="D27" s="349"/>
      <c r="E27" s="349">
        <v>800</v>
      </c>
      <c r="F27" s="349"/>
      <c r="G27" s="349"/>
      <c r="H27" s="349"/>
      <c r="I27" s="349"/>
      <c r="J27" s="349"/>
      <c r="K27" s="349"/>
      <c r="L27" s="349"/>
      <c r="M27" s="349"/>
      <c r="N27" s="349">
        <f t="shared" si="0"/>
        <v>800</v>
      </c>
    </row>
    <row r="28" spans="1:14" x14ac:dyDescent="0.2">
      <c r="A28" s="361" t="s">
        <v>263</v>
      </c>
      <c r="B28" s="362"/>
      <c r="C28" s="362"/>
      <c r="D28" s="362"/>
      <c r="E28" s="362"/>
      <c r="F28" s="362">
        <f>-30000-99400-104428</f>
        <v>-233828</v>
      </c>
      <c r="G28" s="362"/>
      <c r="H28" s="362"/>
      <c r="I28" s="362"/>
      <c r="J28" s="362"/>
      <c r="K28" s="362"/>
      <c r="L28" s="362"/>
      <c r="M28" s="362"/>
      <c r="N28" s="362">
        <f t="shared" si="0"/>
        <v>-233828</v>
      </c>
    </row>
    <row r="29" spans="1:14" x14ac:dyDescent="0.2">
      <c r="A29" s="350" t="s">
        <v>268</v>
      </c>
      <c r="B29" s="349"/>
      <c r="C29" s="349"/>
      <c r="D29" s="349"/>
      <c r="E29" s="349"/>
      <c r="F29" s="349">
        <v>26819.599999999999</v>
      </c>
      <c r="G29" s="349"/>
      <c r="H29" s="349"/>
      <c r="I29" s="349"/>
      <c r="J29" s="349"/>
      <c r="K29" s="349"/>
      <c r="L29" s="349"/>
      <c r="M29" s="349"/>
      <c r="N29" s="349">
        <f t="shared" si="0"/>
        <v>26819.599999999999</v>
      </c>
    </row>
    <row r="30" spans="1:14" x14ac:dyDescent="0.2">
      <c r="A30" s="350" t="s">
        <v>269</v>
      </c>
      <c r="B30" s="349"/>
      <c r="C30" s="349"/>
      <c r="D30" s="349"/>
      <c r="E30" s="349"/>
      <c r="F30" s="349">
        <v>46033</v>
      </c>
      <c r="G30" s="349"/>
      <c r="H30" s="349"/>
      <c r="I30" s="349"/>
      <c r="J30" s="349"/>
      <c r="K30" s="349"/>
      <c r="L30" s="349"/>
      <c r="M30" s="349"/>
      <c r="N30" s="349">
        <f t="shared" si="0"/>
        <v>46033</v>
      </c>
    </row>
    <row r="31" spans="1:14" x14ac:dyDescent="0.2">
      <c r="A31" s="350" t="s">
        <v>276</v>
      </c>
      <c r="B31" s="349"/>
      <c r="C31" s="349"/>
      <c r="D31" s="349"/>
      <c r="E31" s="349"/>
      <c r="F31" s="349">
        <v>1200</v>
      </c>
      <c r="G31" s="349"/>
      <c r="H31" s="349"/>
      <c r="I31" s="349"/>
      <c r="J31" s="349"/>
      <c r="K31" s="349"/>
      <c r="L31" s="349"/>
      <c r="M31" s="349"/>
      <c r="N31" s="349">
        <f t="shared" si="0"/>
        <v>1200</v>
      </c>
    </row>
    <row r="32" spans="1:14" x14ac:dyDescent="0.2">
      <c r="A32" s="350" t="s">
        <v>277</v>
      </c>
      <c r="B32" s="349"/>
      <c r="C32" s="349"/>
      <c r="D32" s="349"/>
      <c r="E32" s="349"/>
      <c r="F32" s="349">
        <v>240</v>
      </c>
      <c r="G32" s="349"/>
      <c r="H32" s="349"/>
      <c r="I32" s="349"/>
      <c r="J32" s="349"/>
      <c r="K32" s="349"/>
      <c r="L32" s="349"/>
      <c r="M32" s="349"/>
      <c r="N32" s="349">
        <f t="shared" si="0"/>
        <v>240</v>
      </c>
    </row>
    <row r="33" spans="1:14" x14ac:dyDescent="0.2">
      <c r="A33" s="350" t="s">
        <v>278</v>
      </c>
      <c r="B33" s="349"/>
      <c r="C33" s="349"/>
      <c r="D33" s="349"/>
      <c r="E33" s="349"/>
      <c r="F33" s="349">
        <v>792.57</v>
      </c>
      <c r="G33" s="349"/>
      <c r="H33" s="349"/>
      <c r="I33" s="349"/>
      <c r="J33" s="349"/>
      <c r="K33" s="349"/>
      <c r="L33" s="349"/>
      <c r="M33" s="349"/>
      <c r="N33" s="349">
        <f t="shared" si="0"/>
        <v>792.57</v>
      </c>
    </row>
    <row r="34" spans="1:14" x14ac:dyDescent="0.2">
      <c r="A34" s="350" t="s">
        <v>286</v>
      </c>
      <c r="B34" s="349"/>
      <c r="C34" s="349"/>
      <c r="D34" s="349"/>
      <c r="E34" s="349"/>
      <c r="F34" s="349">
        <v>298</v>
      </c>
      <c r="G34" s="349"/>
      <c r="H34" s="349"/>
      <c r="I34" s="349"/>
      <c r="J34" s="349"/>
      <c r="K34" s="349"/>
      <c r="L34" s="349"/>
      <c r="M34" s="349"/>
      <c r="N34" s="349">
        <f t="shared" si="0"/>
        <v>298</v>
      </c>
    </row>
    <row r="35" spans="1:14" x14ac:dyDescent="0.2">
      <c r="A35" s="350" t="s">
        <v>298</v>
      </c>
      <c r="B35" s="349"/>
      <c r="C35" s="349"/>
      <c r="D35" s="349"/>
      <c r="E35" s="349"/>
      <c r="F35" s="349"/>
      <c r="G35" s="349">
        <v>17070</v>
      </c>
      <c r="H35" s="349"/>
      <c r="I35" s="349"/>
      <c r="J35" s="349"/>
      <c r="K35" s="349"/>
      <c r="L35" s="349"/>
      <c r="M35" s="349"/>
      <c r="N35" s="349">
        <f t="shared" si="0"/>
        <v>17070</v>
      </c>
    </row>
    <row r="36" spans="1:14" x14ac:dyDescent="0.2">
      <c r="A36" s="350" t="s">
        <v>304</v>
      </c>
      <c r="B36" s="349"/>
      <c r="C36" s="349"/>
      <c r="D36" s="349"/>
      <c r="E36" s="349"/>
      <c r="F36" s="349"/>
      <c r="G36" s="349">
        <v>720</v>
      </c>
      <c r="H36" s="349"/>
      <c r="I36" s="349"/>
      <c r="J36" s="349"/>
      <c r="K36" s="349"/>
      <c r="L36" s="349"/>
      <c r="M36" s="349"/>
      <c r="N36" s="349">
        <f t="shared" si="0"/>
        <v>720</v>
      </c>
    </row>
    <row r="37" spans="1:14" x14ac:dyDescent="0.2">
      <c r="A37" s="350" t="s">
        <v>306</v>
      </c>
      <c r="B37" s="349"/>
      <c r="C37" s="349"/>
      <c r="D37" s="349"/>
      <c r="E37" s="349"/>
      <c r="F37" s="349"/>
      <c r="G37" s="349">
        <v>320</v>
      </c>
      <c r="H37" s="349"/>
      <c r="I37" s="349"/>
      <c r="J37" s="349"/>
      <c r="K37" s="349"/>
      <c r="L37" s="349"/>
      <c r="M37" s="349"/>
      <c r="N37" s="349">
        <f t="shared" si="0"/>
        <v>320</v>
      </c>
    </row>
    <row r="38" spans="1:14" x14ac:dyDescent="0.2">
      <c r="A38" s="350" t="s">
        <v>307</v>
      </c>
      <c r="B38" s="349"/>
      <c r="C38" s="349"/>
      <c r="D38" s="349"/>
      <c r="E38" s="349"/>
      <c r="F38" s="349"/>
      <c r="G38" s="349">
        <v>2950</v>
      </c>
      <c r="H38" s="349"/>
      <c r="I38" s="349"/>
      <c r="J38" s="349"/>
      <c r="K38" s="349"/>
      <c r="L38" s="349"/>
      <c r="M38" s="349"/>
      <c r="N38" s="349">
        <f t="shared" si="0"/>
        <v>2950</v>
      </c>
    </row>
    <row r="39" spans="1:14" x14ac:dyDescent="0.2">
      <c r="A39" s="350" t="s">
        <v>308</v>
      </c>
      <c r="B39" s="349"/>
      <c r="C39" s="349"/>
      <c r="D39" s="349"/>
      <c r="E39" s="349"/>
      <c r="F39" s="349"/>
      <c r="G39" s="349">
        <v>900</v>
      </c>
      <c r="H39" s="349"/>
      <c r="I39" s="349"/>
      <c r="J39" s="349"/>
      <c r="K39" s="349"/>
      <c r="L39" s="349"/>
      <c r="M39" s="349"/>
      <c r="N39" s="349">
        <f t="shared" si="0"/>
        <v>900</v>
      </c>
    </row>
    <row r="40" spans="1:14" x14ac:dyDescent="0.2">
      <c r="A40" s="350" t="s">
        <v>317</v>
      </c>
      <c r="B40" s="349"/>
      <c r="C40" s="349"/>
      <c r="D40" s="349"/>
      <c r="E40" s="349"/>
      <c r="F40" s="349"/>
      <c r="G40" s="349">
        <v>5400</v>
      </c>
      <c r="H40" s="349"/>
      <c r="I40" s="349"/>
      <c r="J40" s="349"/>
      <c r="K40" s="349"/>
      <c r="L40" s="349"/>
      <c r="M40" s="349"/>
      <c r="N40" s="349">
        <f t="shared" si="0"/>
        <v>5400</v>
      </c>
    </row>
    <row r="41" spans="1:14" x14ac:dyDescent="0.2">
      <c r="A41" s="350" t="s">
        <v>318</v>
      </c>
      <c r="B41" s="349"/>
      <c r="C41" s="349"/>
      <c r="D41" s="349"/>
      <c r="E41" s="349"/>
      <c r="F41" s="349"/>
      <c r="G41" s="349">
        <v>2470.5</v>
      </c>
      <c r="H41" s="349"/>
      <c r="I41" s="349"/>
      <c r="J41" s="349"/>
      <c r="K41" s="349"/>
      <c r="L41" s="349"/>
      <c r="M41" s="349"/>
      <c r="N41" s="349">
        <f t="shared" si="0"/>
        <v>2470.5</v>
      </c>
    </row>
    <row r="42" spans="1:14" x14ac:dyDescent="0.2">
      <c r="A42" s="350" t="s">
        <v>319</v>
      </c>
      <c r="B42" s="349"/>
      <c r="C42" s="349"/>
      <c r="D42" s="349"/>
      <c r="E42" s="349"/>
      <c r="F42" s="349"/>
      <c r="G42" s="349">
        <v>1240</v>
      </c>
      <c r="H42" s="349"/>
      <c r="I42" s="349"/>
      <c r="J42" s="349"/>
      <c r="K42" s="349"/>
      <c r="L42" s="349"/>
      <c r="M42" s="349"/>
      <c r="N42" s="349">
        <f t="shared" si="0"/>
        <v>1240</v>
      </c>
    </row>
    <row r="43" spans="1:14" x14ac:dyDescent="0.2">
      <c r="A43" s="350" t="s">
        <v>320</v>
      </c>
      <c r="B43" s="349"/>
      <c r="C43" s="349"/>
      <c r="D43" s="349"/>
      <c r="E43" s="349"/>
      <c r="F43" s="349"/>
      <c r="G43" s="349">
        <v>4440</v>
      </c>
      <c r="H43" s="349"/>
      <c r="I43" s="349"/>
      <c r="J43" s="349"/>
      <c r="K43" s="349"/>
      <c r="L43" s="349"/>
      <c r="M43" s="349"/>
      <c r="N43" s="349">
        <f t="shared" si="0"/>
        <v>4440</v>
      </c>
    </row>
    <row r="44" spans="1:14" x14ac:dyDescent="0.2">
      <c r="A44" s="350" t="s">
        <v>321</v>
      </c>
      <c r="B44" s="349"/>
      <c r="C44" s="349"/>
      <c r="D44" s="349"/>
      <c r="E44" s="349"/>
      <c r="F44" s="349"/>
      <c r="G44" s="349">
        <v>1750</v>
      </c>
      <c r="H44" s="349"/>
      <c r="I44" s="349"/>
      <c r="J44" s="349"/>
      <c r="K44" s="349"/>
      <c r="L44" s="349"/>
      <c r="M44" s="349"/>
      <c r="N44" s="349">
        <f t="shared" si="0"/>
        <v>1750</v>
      </c>
    </row>
    <row r="45" spans="1:14" x14ac:dyDescent="0.2">
      <c r="A45" s="350" t="s">
        <v>322</v>
      </c>
      <c r="B45" s="349"/>
      <c r="C45" s="349"/>
      <c r="D45" s="349"/>
      <c r="E45" s="349"/>
      <c r="F45" s="349"/>
      <c r="G45" s="349">
        <v>470</v>
      </c>
      <c r="H45" s="349"/>
      <c r="I45" s="349"/>
      <c r="J45" s="349"/>
      <c r="K45" s="349"/>
      <c r="L45" s="349"/>
      <c r="M45" s="349"/>
      <c r="N45" s="349">
        <f t="shared" si="0"/>
        <v>470</v>
      </c>
    </row>
    <row r="46" spans="1:14" x14ac:dyDescent="0.2">
      <c r="A46" s="350" t="s">
        <v>318</v>
      </c>
      <c r="B46" s="349"/>
      <c r="C46" s="349"/>
      <c r="D46" s="349"/>
      <c r="E46" s="349"/>
      <c r="F46" s="349"/>
      <c r="G46" s="349">
        <v>5250</v>
      </c>
      <c r="H46" s="349"/>
      <c r="I46" s="349"/>
      <c r="J46" s="349"/>
      <c r="K46" s="349"/>
      <c r="L46" s="349"/>
      <c r="M46" s="349"/>
      <c r="N46" s="349">
        <f t="shared" si="0"/>
        <v>5250</v>
      </c>
    </row>
    <row r="47" spans="1:14" x14ac:dyDescent="0.2">
      <c r="A47" s="350" t="s">
        <v>346</v>
      </c>
      <c r="B47" s="349"/>
      <c r="C47" s="349"/>
      <c r="D47" s="349"/>
      <c r="E47" s="349"/>
      <c r="F47" s="349"/>
      <c r="G47" s="349"/>
      <c r="H47" s="349">
        <v>1250</v>
      </c>
      <c r="I47" s="349"/>
      <c r="J47" s="349"/>
      <c r="K47" s="349"/>
      <c r="L47" s="349"/>
      <c r="M47" s="349"/>
      <c r="N47" s="349">
        <f t="shared" si="0"/>
        <v>1250</v>
      </c>
    </row>
    <row r="48" spans="1:14" x14ac:dyDescent="0.2">
      <c r="A48" s="350" t="s">
        <v>347</v>
      </c>
      <c r="B48" s="349"/>
      <c r="C48" s="349"/>
      <c r="D48" s="349"/>
      <c r="E48" s="349"/>
      <c r="F48" s="349"/>
      <c r="G48" s="349"/>
      <c r="H48" s="349">
        <v>8305</v>
      </c>
      <c r="I48" s="349"/>
      <c r="J48" s="349"/>
      <c r="K48" s="349"/>
      <c r="L48" s="349"/>
      <c r="M48" s="349"/>
      <c r="N48" s="349">
        <f t="shared" si="0"/>
        <v>8305</v>
      </c>
    </row>
    <row r="49" spans="1:14" x14ac:dyDescent="0.2">
      <c r="A49" s="350" t="s">
        <v>368</v>
      </c>
      <c r="B49" s="349"/>
      <c r="C49" s="349"/>
      <c r="D49" s="349"/>
      <c r="E49" s="349"/>
      <c r="F49" s="349"/>
      <c r="G49" s="349"/>
      <c r="H49" s="349"/>
      <c r="I49" s="349">
        <v>1890</v>
      </c>
      <c r="J49" s="349"/>
      <c r="K49" s="349"/>
      <c r="L49" s="349"/>
      <c r="M49" s="349"/>
      <c r="N49" s="349">
        <f t="shared" si="0"/>
        <v>1890</v>
      </c>
    </row>
    <row r="50" spans="1:14" x14ac:dyDescent="0.2">
      <c r="A50" s="350" t="s">
        <v>368</v>
      </c>
      <c r="B50" s="349"/>
      <c r="C50" s="349"/>
      <c r="D50" s="349"/>
      <c r="E50" s="349"/>
      <c r="F50" s="349"/>
      <c r="G50" s="349"/>
      <c r="H50" s="349"/>
      <c r="I50" s="349">
        <v>1260</v>
      </c>
      <c r="J50" s="349"/>
      <c r="K50" s="349"/>
      <c r="L50" s="349"/>
      <c r="M50" s="349"/>
      <c r="N50" s="349">
        <f t="shared" si="0"/>
        <v>1260</v>
      </c>
    </row>
    <row r="51" spans="1:14" x14ac:dyDescent="0.2">
      <c r="A51" s="350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>
        <f t="shared" si="0"/>
        <v>0</v>
      </c>
    </row>
    <row r="52" spans="1:14" x14ac:dyDescent="0.2">
      <c r="A52" s="350"/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>
        <f t="shared" si="0"/>
        <v>0</v>
      </c>
    </row>
    <row r="53" spans="1:14" x14ac:dyDescent="0.2">
      <c r="A53" s="350"/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>
        <f t="shared" si="0"/>
        <v>0</v>
      </c>
    </row>
    <row r="54" spans="1:14" x14ac:dyDescent="0.2">
      <c r="A54" s="350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>
        <f t="shared" si="0"/>
        <v>0</v>
      </c>
    </row>
    <row r="55" spans="1:14" x14ac:dyDescent="0.2">
      <c r="A55" s="350"/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>
        <f t="shared" si="0"/>
        <v>0</v>
      </c>
    </row>
    <row r="56" spans="1:14" x14ac:dyDescent="0.2">
      <c r="A56" s="350"/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>
        <f t="shared" si="0"/>
        <v>0</v>
      </c>
    </row>
    <row r="57" spans="1:14" x14ac:dyDescent="0.2">
      <c r="A57" s="350"/>
      <c r="B57" s="34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>
        <f t="shared" si="0"/>
        <v>0</v>
      </c>
    </row>
    <row r="58" spans="1:14" x14ac:dyDescent="0.2">
      <c r="A58" s="350"/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>
        <f t="shared" si="0"/>
        <v>0</v>
      </c>
    </row>
    <row r="59" spans="1:14" x14ac:dyDescent="0.2">
      <c r="A59" s="340" t="s">
        <v>91</v>
      </c>
      <c r="B59" s="351">
        <f t="shared" ref="B59:N59" si="1">SUM(B3:B58)</f>
        <v>35385</v>
      </c>
      <c r="C59" s="351">
        <f t="shared" si="1"/>
        <v>177740.88</v>
      </c>
      <c r="D59" s="351">
        <f t="shared" si="1"/>
        <v>2464</v>
      </c>
      <c r="E59" s="351">
        <f t="shared" si="1"/>
        <v>59172</v>
      </c>
      <c r="F59" s="351">
        <f t="shared" si="1"/>
        <v>-139824.82999999999</v>
      </c>
      <c r="G59" s="351">
        <f t="shared" si="1"/>
        <v>48980.5</v>
      </c>
      <c r="H59" s="351">
        <f t="shared" si="1"/>
        <v>25855</v>
      </c>
      <c r="I59" s="351">
        <f t="shared" si="1"/>
        <v>132470</v>
      </c>
      <c r="J59" s="351">
        <f t="shared" si="1"/>
        <v>0</v>
      </c>
      <c r="K59" s="351">
        <f t="shared" si="1"/>
        <v>0</v>
      </c>
      <c r="L59" s="351">
        <f t="shared" si="1"/>
        <v>0</v>
      </c>
      <c r="M59" s="351">
        <f t="shared" si="1"/>
        <v>0</v>
      </c>
      <c r="N59" s="351">
        <f t="shared" si="1"/>
        <v>342242.55</v>
      </c>
    </row>
    <row r="61" spans="1:14" x14ac:dyDescent="0.2">
      <c r="N61" s="353">
        <f>SUM(B59:M59)-N59</f>
        <v>0</v>
      </c>
    </row>
  </sheetData>
  <phoneticPr fontId="20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62"/>
  <sheetViews>
    <sheetView topLeftCell="A28" workbookViewId="0">
      <selection activeCell="A54" sqref="A54"/>
    </sheetView>
  </sheetViews>
  <sheetFormatPr defaultRowHeight="15" x14ac:dyDescent="0.25"/>
  <cols>
    <col min="1" max="1" width="33.140625" bestFit="1" customWidth="1"/>
    <col min="2" max="9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58" t="s">
        <v>114</v>
      </c>
      <c r="B3" s="357">
        <v>135949.22</v>
      </c>
      <c r="C3" s="357">
        <v>205269.35</v>
      </c>
      <c r="D3" s="357">
        <v>210078.77</v>
      </c>
      <c r="E3" s="357">
        <v>230785.83</v>
      </c>
      <c r="F3" s="357">
        <v>231228.03</v>
      </c>
      <c r="G3" s="357">
        <v>202722.3</v>
      </c>
      <c r="H3" s="357">
        <v>167233.44</v>
      </c>
      <c r="I3" s="357">
        <v>114852.98</v>
      </c>
      <c r="J3" s="357"/>
      <c r="K3" s="357"/>
      <c r="L3" s="357"/>
      <c r="M3" s="357"/>
      <c r="N3" s="193">
        <f t="shared" ref="N3:N59" si="0">SUM(B3:M3)</f>
        <v>1498119.92</v>
      </c>
    </row>
    <row r="4" spans="1:14" x14ac:dyDescent="0.25">
      <c r="A4" s="161" t="s">
        <v>161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177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205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206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218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219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220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221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222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223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224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230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229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60" t="s">
        <v>235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205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251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205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253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254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274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280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281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282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283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287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291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67" t="s">
        <v>301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67" t="s">
        <v>302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67" t="s">
        <v>303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70" t="s">
        <v>309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70" t="s">
        <v>310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70" t="s">
        <v>311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70" t="s">
        <v>326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70" t="s">
        <v>327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70" t="s">
        <v>311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70" t="s">
        <v>328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70" t="s">
        <v>329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70" t="s">
        <v>322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70" t="s">
        <v>330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70" t="s">
        <v>336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70" t="s">
        <v>337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70" t="s">
        <v>338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70" t="s">
        <v>339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70" t="s">
        <v>340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70" t="s">
        <v>355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70" t="s">
        <v>219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70" t="s">
        <v>311</v>
      </c>
      <c r="B50" s="152"/>
      <c r="C50" s="152"/>
      <c r="D50" s="152"/>
      <c r="E50" s="152"/>
      <c r="F50" s="152"/>
      <c r="G50" s="152"/>
      <c r="H50" s="152"/>
      <c r="I50" s="152">
        <v>180</v>
      </c>
      <c r="J50" s="152"/>
      <c r="K50" s="152"/>
      <c r="L50" s="152"/>
      <c r="M50" s="152"/>
      <c r="N50" s="181">
        <f t="shared" si="0"/>
        <v>180</v>
      </c>
    </row>
    <row r="51" spans="1:14" x14ac:dyDescent="0.25">
      <c r="A51" s="370" t="s">
        <v>309</v>
      </c>
      <c r="B51" s="152"/>
      <c r="C51" s="152"/>
      <c r="D51" s="152"/>
      <c r="E51" s="152"/>
      <c r="F51" s="152"/>
      <c r="G51" s="152"/>
      <c r="H51" s="152"/>
      <c r="I51" s="152">
        <v>200</v>
      </c>
      <c r="J51" s="152"/>
      <c r="K51" s="152"/>
      <c r="L51" s="152"/>
      <c r="M51" s="152"/>
      <c r="N51" s="181">
        <f t="shared" si="0"/>
        <v>200</v>
      </c>
    </row>
    <row r="52" spans="1:14" x14ac:dyDescent="0.25">
      <c r="A52" s="370" t="s">
        <v>372</v>
      </c>
      <c r="B52" s="152"/>
      <c r="C52" s="152"/>
      <c r="D52" s="152"/>
      <c r="E52" s="152"/>
      <c r="F52" s="152"/>
      <c r="G52" s="152"/>
      <c r="H52" s="152"/>
      <c r="I52" s="152">
        <v>4410</v>
      </c>
      <c r="J52" s="152"/>
      <c r="K52" s="152"/>
      <c r="L52" s="152"/>
      <c r="M52" s="152"/>
      <c r="N52" s="181">
        <f t="shared" si="0"/>
        <v>4410</v>
      </c>
    </row>
    <row r="53" spans="1:14" x14ac:dyDescent="0.25">
      <c r="A53" s="370" t="s">
        <v>373</v>
      </c>
      <c r="B53" s="152"/>
      <c r="C53" s="152"/>
      <c r="D53" s="152"/>
      <c r="E53" s="152"/>
      <c r="F53" s="152"/>
      <c r="G53" s="152"/>
      <c r="H53" s="152"/>
      <c r="I53" s="152">
        <v>960</v>
      </c>
      <c r="J53" s="152"/>
      <c r="K53" s="152"/>
      <c r="L53" s="152"/>
      <c r="M53" s="152"/>
      <c r="N53" s="181">
        <f t="shared" si="0"/>
        <v>960</v>
      </c>
    </row>
    <row r="54" spans="1:14" x14ac:dyDescent="0.25">
      <c r="A54" s="370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1">
        <f t="shared" si="0"/>
        <v>0</v>
      </c>
    </row>
    <row r="55" spans="1:14" x14ac:dyDescent="0.25">
      <c r="A55" s="370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1">
        <f t="shared" si="0"/>
        <v>0</v>
      </c>
    </row>
    <row r="56" spans="1:14" x14ac:dyDescent="0.25">
      <c r="A56" s="370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1">
        <f t="shared" si="0"/>
        <v>0</v>
      </c>
    </row>
    <row r="57" spans="1:14" x14ac:dyDescent="0.25">
      <c r="A57" s="370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1">
        <f t="shared" si="0"/>
        <v>0</v>
      </c>
    </row>
    <row r="58" spans="1:14" x14ac:dyDescent="0.25">
      <c r="A58" s="370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1">
        <f t="shared" si="0"/>
        <v>0</v>
      </c>
    </row>
    <row r="59" spans="1:14" x14ac:dyDescent="0.25">
      <c r="A59" s="370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1">
        <f t="shared" si="0"/>
        <v>0</v>
      </c>
    </row>
    <row r="60" spans="1:14" x14ac:dyDescent="0.25">
      <c r="A60" s="155" t="s">
        <v>91</v>
      </c>
      <c r="B60" s="166">
        <f>SUM(B3:B59)</f>
        <v>136726.22</v>
      </c>
      <c r="C60" s="166">
        <f>SUM(C3:C59)</f>
        <v>206829.35</v>
      </c>
      <c r="D60" s="166">
        <f t="shared" ref="D60:I60" si="1">SUM(D3:D59)</f>
        <v>299571.77</v>
      </c>
      <c r="E60" s="166">
        <f t="shared" si="1"/>
        <v>243727.27</v>
      </c>
      <c r="F60" s="166">
        <f t="shared" si="1"/>
        <v>257174.03</v>
      </c>
      <c r="G60" s="166">
        <f t="shared" si="1"/>
        <v>370022.3</v>
      </c>
      <c r="H60" s="166">
        <f>SUM(H3:H59)</f>
        <v>185486.44</v>
      </c>
      <c r="I60" s="166">
        <f t="shared" si="1"/>
        <v>120602.98</v>
      </c>
      <c r="J60" s="166">
        <f>SUM(J3:J59)</f>
        <v>0</v>
      </c>
      <c r="K60" s="166">
        <f>SUM(K3:K59)</f>
        <v>0</v>
      </c>
      <c r="L60" s="166">
        <f>SUM(L3:L59)</f>
        <v>0</v>
      </c>
      <c r="M60" s="166">
        <f>SUM(M3:M59)</f>
        <v>0</v>
      </c>
      <c r="N60" s="186">
        <f>SUM(N3:N59)</f>
        <v>1820140.3599999999</v>
      </c>
    </row>
    <row r="62" spans="1:14" x14ac:dyDescent="0.25">
      <c r="N62" s="96">
        <f>SUM(B60:M60)-N60</f>
        <v>0</v>
      </c>
    </row>
  </sheetData>
  <phoneticPr fontId="20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2"/>
  <sheetViews>
    <sheetView workbookViewId="0">
      <selection activeCell="A28" sqref="A28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198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>
        <f>1013.6+1019.6</f>
        <v>2033.2</v>
      </c>
      <c r="J3" s="191"/>
      <c r="K3" s="191"/>
      <c r="L3" s="191"/>
      <c r="M3" s="191"/>
      <c r="N3" s="355">
        <f t="shared" ref="N3:N29" si="0">SUM(B3:M3)</f>
        <v>10978.800000000001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6">
        <f>2533.05+2199.2+2501.53</f>
        <v>7233.7800000000007</v>
      </c>
      <c r="E4" s="356">
        <f>2474.55+2274.41+2200</f>
        <v>6948.96</v>
      </c>
      <c r="F4" s="356">
        <f>2721.06+2477.89+3312</f>
        <v>8510.9500000000007</v>
      </c>
      <c r="G4" s="356">
        <f>2303.79+2311.57</f>
        <v>4615.3600000000006</v>
      </c>
      <c r="H4" s="356">
        <f>2247.2+1966.3+2251.6</f>
        <v>6465.1</v>
      </c>
      <c r="I4" s="356">
        <v>2532.6</v>
      </c>
      <c r="J4" s="192"/>
      <c r="K4" s="192"/>
      <c r="L4" s="192"/>
      <c r="M4" s="192"/>
      <c r="N4" s="355">
        <f t="shared" si="0"/>
        <v>50850.95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5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/>
      <c r="K6" s="179"/>
      <c r="L6" s="179"/>
      <c r="M6" s="179"/>
      <c r="N6" s="355">
        <f t="shared" si="0"/>
        <v>6430</v>
      </c>
    </row>
    <row r="7" spans="1:14" x14ac:dyDescent="0.25">
      <c r="A7" s="165" t="s">
        <v>156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5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5">
        <f t="shared" si="0"/>
        <v>1900</v>
      </c>
    </row>
    <row r="9" spans="1:14" x14ac:dyDescent="0.25">
      <c r="A9" s="165" t="s">
        <v>195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5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5">
        <f t="shared" si="0"/>
        <v>1400</v>
      </c>
    </row>
    <row r="11" spans="1:14" x14ac:dyDescent="0.25">
      <c r="A11" s="165" t="s">
        <v>199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5">
        <f t="shared" si="0"/>
        <v>2000</v>
      </c>
    </row>
    <row r="12" spans="1:14" x14ac:dyDescent="0.25">
      <c r="A12" s="165" t="s">
        <v>202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5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5">
        <f t="shared" si="0"/>
        <v>2700</v>
      </c>
    </row>
    <row r="14" spans="1:14" x14ac:dyDescent="0.25">
      <c r="A14" s="165" t="s">
        <v>211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5">
        <f t="shared" si="0"/>
        <v>28000</v>
      </c>
    </row>
    <row r="15" spans="1:14" x14ac:dyDescent="0.25">
      <c r="A15" s="359" t="s">
        <v>231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5">
        <f t="shared" si="0"/>
        <v>3050</v>
      </c>
    </row>
    <row r="16" spans="1:14" x14ac:dyDescent="0.25">
      <c r="A16" s="165" t="s">
        <v>232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5">
        <f t="shared" si="0"/>
        <v>3800</v>
      </c>
    </row>
    <row r="17" spans="1:14" x14ac:dyDescent="0.25">
      <c r="A17" s="165" t="s">
        <v>233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5">
        <f t="shared" si="0"/>
        <v>860</v>
      </c>
    </row>
    <row r="18" spans="1:14" x14ac:dyDescent="0.25">
      <c r="A18" s="165" t="s">
        <v>255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5">
        <f t="shared" si="0"/>
        <v>2760</v>
      </c>
    </row>
    <row r="19" spans="1:14" x14ac:dyDescent="0.25">
      <c r="A19" s="165" t="s">
        <v>262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5">
        <f t="shared" si="0"/>
        <v>9086.84</v>
      </c>
    </row>
    <row r="20" spans="1:14" x14ac:dyDescent="0.25">
      <c r="A20" s="165" t="s">
        <v>265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5">
        <f t="shared" si="0"/>
        <v>109720</v>
      </c>
    </row>
    <row r="21" spans="1:14" x14ac:dyDescent="0.25">
      <c r="A21" s="165" t="s">
        <v>284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5">
        <f t="shared" si="0"/>
        <v>2300</v>
      </c>
    </row>
    <row r="22" spans="1:14" x14ac:dyDescent="0.25">
      <c r="A22" s="165" t="s">
        <v>285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5">
        <f t="shared" si="0"/>
        <v>1540</v>
      </c>
    </row>
    <row r="23" spans="1:14" x14ac:dyDescent="0.25">
      <c r="A23" s="165" t="s">
        <v>232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5">
        <f t="shared" si="0"/>
        <v>2800</v>
      </c>
    </row>
    <row r="24" spans="1:14" x14ac:dyDescent="0.25">
      <c r="A24" s="165" t="s">
        <v>312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5">
        <f t="shared" si="0"/>
        <v>2480</v>
      </c>
    </row>
    <row r="25" spans="1:14" x14ac:dyDescent="0.25">
      <c r="A25" s="165" t="s">
        <v>325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5">
        <f t="shared" si="0"/>
        <v>12700</v>
      </c>
    </row>
    <row r="26" spans="1:14" x14ac:dyDescent="0.25">
      <c r="A26" s="165" t="s">
        <v>356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5">
        <f t="shared" si="0"/>
        <v>1500</v>
      </c>
    </row>
    <row r="27" spans="1:14" x14ac:dyDescent="0.25">
      <c r="A27" s="165" t="s">
        <v>374</v>
      </c>
      <c r="B27" s="179"/>
      <c r="C27" s="179"/>
      <c r="D27" s="179"/>
      <c r="E27" s="179"/>
      <c r="F27" s="179"/>
      <c r="G27" s="179"/>
      <c r="H27" s="179"/>
      <c r="I27" s="179">
        <v>1200</v>
      </c>
      <c r="J27" s="179"/>
      <c r="K27" s="179"/>
      <c r="L27" s="179"/>
      <c r="M27" s="179"/>
      <c r="N27" s="355">
        <f t="shared" si="0"/>
        <v>1200</v>
      </c>
    </row>
    <row r="28" spans="1:14" x14ac:dyDescent="0.25">
      <c r="A28" s="165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355">
        <f t="shared" si="0"/>
        <v>0</v>
      </c>
    </row>
    <row r="29" spans="1:14" x14ac:dyDescent="0.25">
      <c r="A29" s="165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355">
        <f t="shared" si="0"/>
        <v>0</v>
      </c>
    </row>
    <row r="30" spans="1:14" x14ac:dyDescent="0.25">
      <c r="A30" s="155" t="s">
        <v>91</v>
      </c>
      <c r="B30" s="153">
        <f t="shared" ref="B30:N30" si="1">SUM(B3:B29)</f>
        <v>23006</v>
      </c>
      <c r="C30" s="153">
        <f t="shared" si="1"/>
        <v>67127.8</v>
      </c>
      <c r="D30" s="153">
        <f t="shared" si="1"/>
        <v>56601.380000000005</v>
      </c>
      <c r="E30" s="153">
        <f t="shared" si="1"/>
        <v>41997.08</v>
      </c>
      <c r="F30" s="153">
        <f t="shared" si="1"/>
        <v>140148.47</v>
      </c>
      <c r="G30" s="153">
        <f t="shared" si="1"/>
        <v>30759.360000000001</v>
      </c>
      <c r="H30" s="153">
        <f>SUM(H3:H29)</f>
        <v>9872.7000000000007</v>
      </c>
      <c r="I30" s="153">
        <f t="shared" si="1"/>
        <v>5765.8</v>
      </c>
      <c r="J30" s="153">
        <f t="shared" si="1"/>
        <v>0</v>
      </c>
      <c r="K30" s="153">
        <f t="shared" si="1"/>
        <v>0</v>
      </c>
      <c r="L30" s="153">
        <f t="shared" si="1"/>
        <v>0</v>
      </c>
      <c r="M30" s="153">
        <f t="shared" si="1"/>
        <v>0</v>
      </c>
      <c r="N30" s="313">
        <f t="shared" si="1"/>
        <v>375278.58999999997</v>
      </c>
    </row>
    <row r="32" spans="1:14" x14ac:dyDescent="0.25">
      <c r="N32" s="160">
        <f>SUM(B30:M30)-N30</f>
        <v>0</v>
      </c>
    </row>
  </sheetData>
  <phoneticPr fontId="20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2"/>
  <sheetViews>
    <sheetView topLeftCell="A19" workbookViewId="0">
      <selection activeCell="A40" sqref="A40:XFD40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0" width="8.28515625" style="1" bestFit="1" customWidth="1"/>
    <col min="11" max="11" width="6.28515625" style="1" bestFit="1" customWidth="1"/>
    <col min="12" max="12" width="7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154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15300</v>
      </c>
    </row>
    <row r="4" spans="1:14" x14ac:dyDescent="0.25">
      <c r="A4" s="177" t="s">
        <v>157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166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162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163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164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174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175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176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/>
      <c r="M15" s="179"/>
      <c r="N15" s="181">
        <f t="shared" si="0"/>
        <v>4617</v>
      </c>
    </row>
    <row r="16" spans="1:14" x14ac:dyDescent="0.25">
      <c r="A16" s="177" t="s">
        <v>196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200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201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213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214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215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216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214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246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175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271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174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299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/>
      <c r="L29" s="179"/>
      <c r="M29" s="179"/>
      <c r="N29" s="181">
        <f t="shared" si="0"/>
        <v>56760</v>
      </c>
    </row>
    <row r="30" spans="1:14" x14ac:dyDescent="0.25">
      <c r="A30" s="177" t="s">
        <v>300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313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314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333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335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341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342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343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 t="s">
        <v>359</v>
      </c>
      <c r="B38" s="179"/>
      <c r="C38" s="179"/>
      <c r="D38" s="179"/>
      <c r="E38" s="179"/>
      <c r="F38" s="179"/>
      <c r="G38" s="179"/>
      <c r="H38" s="179"/>
      <c r="I38" s="179">
        <v>48490</v>
      </c>
      <c r="J38" s="179"/>
      <c r="K38" s="179"/>
      <c r="L38" s="179"/>
      <c r="M38" s="179"/>
      <c r="N38" s="181">
        <f t="shared" si="0"/>
        <v>48490</v>
      </c>
    </row>
    <row r="39" spans="1:14" x14ac:dyDescent="0.25">
      <c r="A39" s="177" t="s">
        <v>360</v>
      </c>
      <c r="B39" s="179"/>
      <c r="C39" s="179"/>
      <c r="D39" s="179"/>
      <c r="E39" s="179"/>
      <c r="F39" s="179"/>
      <c r="G39" s="179"/>
      <c r="H39" s="179"/>
      <c r="I39" s="179">
        <v>10500</v>
      </c>
      <c r="J39" s="179"/>
      <c r="K39" s="179"/>
      <c r="L39" s="179"/>
      <c r="M39" s="179"/>
      <c r="N39" s="181">
        <f t="shared" si="0"/>
        <v>10500</v>
      </c>
    </row>
    <row r="40" spans="1:14" x14ac:dyDescent="0.25">
      <c r="A40" s="177" t="s">
        <v>364</v>
      </c>
      <c r="B40" s="179"/>
      <c r="C40" s="179"/>
      <c r="D40" s="179"/>
      <c r="E40" s="179"/>
      <c r="F40" s="179"/>
      <c r="G40" s="179"/>
      <c r="H40" s="179"/>
      <c r="I40" s="179">
        <v>3578.12</v>
      </c>
      <c r="J40" s="179"/>
      <c r="K40" s="179"/>
      <c r="L40" s="179"/>
      <c r="M40" s="179"/>
      <c r="N40" s="181">
        <f t="shared" ref="N40:N49" si="1">SUM(B40:M40)</f>
        <v>3578.12</v>
      </c>
    </row>
    <row r="41" spans="1:14" x14ac:dyDescent="0.25">
      <c r="A41" s="177" t="s">
        <v>365</v>
      </c>
      <c r="B41" s="179"/>
      <c r="C41" s="179"/>
      <c r="D41" s="179"/>
      <c r="E41" s="179"/>
      <c r="F41" s="179"/>
      <c r="G41" s="179"/>
      <c r="H41" s="179"/>
      <c r="I41" s="179">
        <v>1270</v>
      </c>
      <c r="J41" s="179"/>
      <c r="K41" s="179"/>
      <c r="L41" s="179"/>
      <c r="M41" s="179"/>
      <c r="N41" s="181">
        <f t="shared" si="1"/>
        <v>1270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81">
        <f t="shared" si="1"/>
        <v>0</v>
      </c>
    </row>
    <row r="43" spans="1:14" x14ac:dyDescent="0.25">
      <c r="A43" s="17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81">
        <f t="shared" si="1"/>
        <v>0</v>
      </c>
    </row>
    <row r="44" spans="1:14" x14ac:dyDescent="0.25">
      <c r="A44" s="17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1">
        <f t="shared" si="1"/>
        <v>0</v>
      </c>
    </row>
    <row r="45" spans="1:14" x14ac:dyDescent="0.25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1">
        <f t="shared" si="1"/>
        <v>0</v>
      </c>
    </row>
    <row r="46" spans="1:14" x14ac:dyDescent="0.25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1">
        <f t="shared" si="1"/>
        <v>0</v>
      </c>
    </row>
    <row r="47" spans="1:14" x14ac:dyDescent="0.25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1"/>
        <v>0</v>
      </c>
    </row>
    <row r="48" spans="1:14" x14ac:dyDescent="0.25">
      <c r="A48" s="177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1"/>
        <v>0</v>
      </c>
    </row>
    <row r="49" spans="1:14" x14ac:dyDescent="0.25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1"/>
        <v>0</v>
      </c>
    </row>
    <row r="50" spans="1:14" x14ac:dyDescent="0.25">
      <c r="A50" s="133" t="s">
        <v>91</v>
      </c>
      <c r="B50" s="186">
        <f t="shared" ref="B50:N50" si="2">SUM(B3:B49)</f>
        <v>27744.42</v>
      </c>
      <c r="C50" s="186">
        <f t="shared" si="2"/>
        <v>18317</v>
      </c>
      <c r="D50" s="186">
        <f t="shared" si="2"/>
        <v>9583</v>
      </c>
      <c r="E50" s="186">
        <f t="shared" si="2"/>
        <v>5145</v>
      </c>
      <c r="F50" s="186">
        <f t="shared" si="2"/>
        <v>37420</v>
      </c>
      <c r="G50" s="186">
        <f t="shared" si="2"/>
        <v>65000</v>
      </c>
      <c r="H50" s="186">
        <f>SUM(H3:H49)</f>
        <v>59729</v>
      </c>
      <c r="I50" s="186">
        <f t="shared" si="2"/>
        <v>63838.12</v>
      </c>
      <c r="J50" s="186">
        <f t="shared" si="2"/>
        <v>0</v>
      </c>
      <c r="K50" s="186">
        <f t="shared" si="2"/>
        <v>0</v>
      </c>
      <c r="L50" s="186">
        <f t="shared" si="2"/>
        <v>0</v>
      </c>
      <c r="M50" s="186">
        <f t="shared" si="2"/>
        <v>0</v>
      </c>
      <c r="N50" s="186">
        <f t="shared" si="2"/>
        <v>286776.53999999998</v>
      </c>
    </row>
    <row r="52" spans="1:14" x14ac:dyDescent="0.25">
      <c r="N52" s="202">
        <f>SUM(B50:M50)-N50</f>
        <v>0</v>
      </c>
    </row>
  </sheetData>
  <phoneticPr fontId="2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6"/>
  <sheetViews>
    <sheetView workbookViewId="0">
      <selection activeCell="G17" sqref="G17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9" width="10.285156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208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3" si="0">SUM(B3:M3)</f>
        <v>93333.9</v>
      </c>
    </row>
    <row r="4" spans="1:15" s="344" customFormat="1" ht="14.25" x14ac:dyDescent="0.2">
      <c r="A4" s="350" t="s">
        <v>194</v>
      </c>
      <c r="B4" s="349"/>
      <c r="C4" s="349"/>
      <c r="D4" s="349">
        <v>155856</v>
      </c>
      <c r="E4" s="349"/>
      <c r="F4" s="349"/>
      <c r="G4" s="349"/>
      <c r="H4" s="349"/>
      <c r="I4" s="349"/>
      <c r="J4" s="349"/>
      <c r="K4" s="349"/>
      <c r="L4" s="349"/>
      <c r="M4" s="349"/>
      <c r="N4" s="349">
        <f t="shared" ref="N4:N6" si="1">SUM(B4:M4)</f>
        <v>155856</v>
      </c>
      <c r="O4" s="344" t="s">
        <v>238</v>
      </c>
    </row>
    <row r="5" spans="1:15" s="344" customFormat="1" ht="14.25" x14ac:dyDescent="0.2">
      <c r="A5" s="350" t="s">
        <v>234</v>
      </c>
      <c r="B5" s="349"/>
      <c r="C5" s="349"/>
      <c r="D5" s="349">
        <v>198800</v>
      </c>
      <c r="E5" s="349"/>
      <c r="F5" s="349"/>
      <c r="G5" s="349"/>
      <c r="H5" s="349"/>
      <c r="I5" s="349"/>
      <c r="J5" s="349"/>
      <c r="K5" s="349"/>
      <c r="L5" s="349"/>
      <c r="M5" s="349"/>
      <c r="N5" s="349">
        <f t="shared" si="1"/>
        <v>198800</v>
      </c>
    </row>
    <row r="6" spans="1:15" s="344" customFormat="1" ht="14.25" x14ac:dyDescent="0.2">
      <c r="A6" s="350" t="s">
        <v>227</v>
      </c>
      <c r="B6" s="349"/>
      <c r="C6" s="349"/>
      <c r="D6" s="349">
        <v>25000</v>
      </c>
      <c r="E6" s="349"/>
      <c r="F6" s="349"/>
      <c r="G6" s="349"/>
      <c r="H6" s="349"/>
      <c r="I6" s="349"/>
      <c r="J6" s="349"/>
      <c r="K6" s="349"/>
      <c r="L6" s="349"/>
      <c r="M6" s="349"/>
      <c r="N6" s="349">
        <f t="shared" si="1"/>
        <v>25000</v>
      </c>
    </row>
    <row r="7" spans="1:15" s="344" customFormat="1" ht="14.25" x14ac:dyDescent="0.2">
      <c r="A7" s="350" t="s">
        <v>212</v>
      </c>
      <c r="B7" s="349"/>
      <c r="C7" s="349"/>
      <c r="D7" s="349">
        <v>38500</v>
      </c>
      <c r="E7" s="349"/>
      <c r="F7" s="349"/>
      <c r="G7" s="349"/>
      <c r="H7" s="349"/>
      <c r="I7" s="349"/>
      <c r="J7" s="349"/>
      <c r="K7" s="349"/>
      <c r="L7" s="349"/>
      <c r="M7" s="349"/>
      <c r="N7" s="349">
        <f>SUM(B7:M7)</f>
        <v>38500</v>
      </c>
    </row>
    <row r="8" spans="1:15" x14ac:dyDescent="0.25">
      <c r="A8" s="165" t="s">
        <v>241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5">
        <f>SUM(B8:M8)</f>
        <v>99190</v>
      </c>
    </row>
    <row r="9" spans="1:15" x14ac:dyDescent="0.25">
      <c r="A9" s="152" t="s">
        <v>270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 t="s">
        <v>358</v>
      </c>
      <c r="B10" s="179"/>
      <c r="C10" s="179"/>
      <c r="D10" s="179"/>
      <c r="E10" s="179"/>
      <c r="F10" s="179"/>
      <c r="G10" s="179"/>
      <c r="H10" s="179"/>
      <c r="I10" s="179">
        <v>80000</v>
      </c>
      <c r="J10" s="179"/>
      <c r="K10" s="179"/>
      <c r="L10" s="179"/>
      <c r="M10" s="179"/>
      <c r="N10" s="179">
        <f t="shared" si="0"/>
        <v>80000</v>
      </c>
    </row>
    <row r="11" spans="1:15" x14ac:dyDescent="0.25">
      <c r="A11" s="32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5" x14ac:dyDescent="0.25">
      <c r="A12" s="32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5" x14ac:dyDescent="0.25">
      <c r="A13" s="152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5" x14ac:dyDescent="0.25">
      <c r="A14" s="366" t="s">
        <v>294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5" x14ac:dyDescent="0.25">
      <c r="A15" s="152" t="s">
        <v>295</v>
      </c>
      <c r="B15" s="179"/>
      <c r="C15" s="179"/>
      <c r="D15" s="179"/>
      <c r="E15" s="179"/>
      <c r="F15" s="179"/>
      <c r="G15" s="179">
        <v>20490</v>
      </c>
      <c r="H15" s="179"/>
      <c r="I15" s="179"/>
      <c r="J15" s="179"/>
      <c r="K15" s="179"/>
      <c r="L15" s="179"/>
      <c r="M15" s="179"/>
      <c r="N15" s="179">
        <f t="shared" si="0"/>
        <v>20490</v>
      </c>
    </row>
    <row r="16" spans="1:15" x14ac:dyDescent="0.25">
      <c r="A16" s="326" t="s">
        <v>296</v>
      </c>
      <c r="B16" s="179"/>
      <c r="C16" s="179"/>
      <c r="D16" s="179"/>
      <c r="E16" s="179"/>
      <c r="F16" s="179"/>
      <c r="G16" s="179">
        <v>109000</v>
      </c>
      <c r="H16" s="179">
        <v>46800</v>
      </c>
      <c r="I16" s="179"/>
      <c r="J16" s="179"/>
      <c r="K16" s="179"/>
      <c r="L16" s="179"/>
      <c r="M16" s="179"/>
      <c r="N16" s="179">
        <f t="shared" si="0"/>
        <v>155800</v>
      </c>
    </row>
    <row r="17" spans="1:14" x14ac:dyDescent="0.25">
      <c r="A17" s="177" t="s">
        <v>297</v>
      </c>
      <c r="B17" s="179"/>
      <c r="C17" s="179"/>
      <c r="D17" s="179"/>
      <c r="E17" s="179"/>
      <c r="F17" s="179"/>
      <c r="G17" s="179">
        <v>26419.759999999998</v>
      </c>
      <c r="H17" s="179"/>
      <c r="I17" s="179"/>
      <c r="J17" s="179"/>
      <c r="K17" s="179"/>
      <c r="L17" s="179"/>
      <c r="M17" s="179"/>
      <c r="N17" s="324">
        <f t="shared" si="0"/>
        <v>26419.759999999998</v>
      </c>
    </row>
    <row r="18" spans="1:14" x14ac:dyDescent="0.25">
      <c r="A18" s="174" t="s">
        <v>243</v>
      </c>
      <c r="B18" s="179"/>
      <c r="C18" s="179"/>
      <c r="D18" s="179"/>
      <c r="E18" s="179"/>
      <c r="F18" s="179"/>
      <c r="G18" s="179"/>
      <c r="H18" s="179">
        <v>83360</v>
      </c>
      <c r="I18" s="179"/>
      <c r="J18" s="179"/>
      <c r="K18" s="179"/>
      <c r="L18" s="179"/>
      <c r="M18" s="179"/>
      <c r="N18" s="179">
        <f t="shared" si="0"/>
        <v>83360</v>
      </c>
    </row>
    <row r="19" spans="1:14" hidden="1" x14ac:dyDescent="0.25">
      <c r="A19" s="174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52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324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>
        <f t="shared" si="0"/>
        <v>0</v>
      </c>
    </row>
    <row r="43" spans="1:14" hidden="1" x14ac:dyDescent="0.25">
      <c r="A43" s="32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174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32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152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x14ac:dyDescent="0.25">
      <c r="A52" s="325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11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79">
        <f t="shared" si="0"/>
        <v>0</v>
      </c>
    </row>
    <row r="54" spans="1:14" x14ac:dyDescent="0.25">
      <c r="A54" s="155" t="s">
        <v>91</v>
      </c>
      <c r="B54" s="166">
        <f>SUM(B3:B53)</f>
        <v>93333.9</v>
      </c>
      <c r="C54" s="166">
        <f>SUM(C3:C53)</f>
        <v>0</v>
      </c>
      <c r="D54" s="166">
        <f t="shared" ref="D54:M54" si="2">SUM(D3:D53)</f>
        <v>418156</v>
      </c>
      <c r="E54" s="166">
        <f t="shared" si="2"/>
        <v>99190</v>
      </c>
      <c r="F54" s="166">
        <f t="shared" si="2"/>
        <v>206419</v>
      </c>
      <c r="G54" s="166">
        <f t="shared" si="2"/>
        <v>155909.76000000001</v>
      </c>
      <c r="H54" s="166">
        <f t="shared" si="2"/>
        <v>130160</v>
      </c>
      <c r="I54" s="166">
        <f t="shared" si="2"/>
        <v>80000</v>
      </c>
      <c r="J54" s="166">
        <f t="shared" si="2"/>
        <v>0</v>
      </c>
      <c r="K54" s="166">
        <f t="shared" si="2"/>
        <v>0</v>
      </c>
      <c r="L54" s="166">
        <f t="shared" si="2"/>
        <v>0</v>
      </c>
      <c r="M54" s="166">
        <f t="shared" si="2"/>
        <v>0</v>
      </c>
      <c r="N54" s="166">
        <f>SUM(N3:N53)</f>
        <v>1183168.6599999999</v>
      </c>
    </row>
    <row r="56" spans="1:14" x14ac:dyDescent="0.25">
      <c r="N56" s="160">
        <f>SUM(B54:M54)-N54</f>
        <v>0</v>
      </c>
    </row>
  </sheetData>
  <phoneticPr fontId="20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zoomScale="90" zoomScaleNormal="100" zoomScaleSheetLayoutView="90" workbookViewId="0">
      <selection activeCell="E17" sqref="E17"/>
    </sheetView>
  </sheetViews>
  <sheetFormatPr defaultRowHeight="15" x14ac:dyDescent="0.25"/>
  <cols>
    <col min="1" max="1" width="38.5703125" style="291" customWidth="1"/>
    <col min="2" max="2" width="14.7109375" style="225" bestFit="1" customWidth="1"/>
    <col min="3" max="3" width="13.5703125" style="225" customWidth="1"/>
    <col min="4" max="4" width="13.7109375" style="220" bestFit="1" customWidth="1"/>
    <col min="5" max="6" width="14.140625" style="220" bestFit="1" customWidth="1"/>
    <col min="7" max="7" width="13.7109375" style="220" bestFit="1" customWidth="1"/>
    <col min="8" max="8" width="14.5703125" style="220" bestFit="1" customWidth="1"/>
    <col min="9" max="11" width="16.28515625" style="220" bestFit="1" customWidth="1"/>
    <col min="12" max="15" width="11.7109375" style="220" bestFit="1" customWidth="1"/>
    <col min="16" max="16" width="14.7109375" style="225" customWidth="1"/>
    <col min="17" max="17" width="15.28515625" style="225" customWidth="1"/>
    <col min="18" max="18" width="16" style="225" bestFit="1" customWidth="1"/>
    <col min="19" max="19" width="15.5703125" style="221" bestFit="1" customWidth="1"/>
    <col min="20" max="16384" width="9.140625" style="221"/>
  </cols>
  <sheetData>
    <row r="1" spans="1:19" ht="18" customHeight="1" x14ac:dyDescent="0.35">
      <c r="A1" s="308" t="s">
        <v>52</v>
      </c>
      <c r="B1" s="309" t="s">
        <v>124</v>
      </c>
      <c r="C1" s="220"/>
      <c r="P1" s="220"/>
      <c r="Q1" s="220"/>
      <c r="R1" s="220"/>
    </row>
    <row r="2" spans="1:19" ht="21" customHeight="1" x14ac:dyDescent="0.25">
      <c r="A2" s="222" t="s">
        <v>331</v>
      </c>
      <c r="B2" s="223"/>
      <c r="C2" s="224"/>
      <c r="D2" s="224"/>
      <c r="E2" s="224"/>
      <c r="F2" s="224"/>
      <c r="G2" s="224"/>
      <c r="H2" s="224"/>
      <c r="I2" s="368"/>
      <c r="J2" s="224"/>
      <c r="K2" s="224"/>
      <c r="L2" s="224"/>
      <c r="M2" s="224"/>
      <c r="N2" s="224"/>
      <c r="O2" s="224"/>
      <c r="P2" s="224"/>
      <c r="Q2" s="225">
        <v>8</v>
      </c>
      <c r="R2" s="225" t="s">
        <v>53</v>
      </c>
    </row>
    <row r="3" spans="1:19" ht="37.5" customHeight="1" x14ac:dyDescent="0.3">
      <c r="A3" s="226" t="s">
        <v>1</v>
      </c>
      <c r="B3" s="321" t="s">
        <v>2</v>
      </c>
      <c r="C3" s="321" t="s">
        <v>54</v>
      </c>
      <c r="D3" s="322" t="s">
        <v>9</v>
      </c>
      <c r="E3" s="322" t="s">
        <v>14</v>
      </c>
      <c r="F3" s="322" t="s">
        <v>15</v>
      </c>
      <c r="G3" s="322" t="s">
        <v>16</v>
      </c>
      <c r="H3" s="322" t="s">
        <v>17</v>
      </c>
      <c r="I3" s="322" t="s">
        <v>18</v>
      </c>
      <c r="J3" s="322" t="s">
        <v>19</v>
      </c>
      <c r="K3" s="322" t="s">
        <v>4</v>
      </c>
      <c r="L3" s="322" t="s">
        <v>5</v>
      </c>
      <c r="M3" s="322" t="s">
        <v>6</v>
      </c>
      <c r="N3" s="322" t="s">
        <v>7</v>
      </c>
      <c r="O3" s="322" t="s">
        <v>8</v>
      </c>
      <c r="P3" s="321" t="str">
        <f>CONCATENATE("Итого за ",Q2," мес.")</f>
        <v>Итого за 8 мес.</v>
      </c>
      <c r="Q3" s="321" t="str">
        <f>CONCATENATE("Бюджет          за ",Q2," мес.")</f>
        <v>Бюджет          за 8 мес.</v>
      </c>
      <c r="R3" s="323" t="s">
        <v>12</v>
      </c>
    </row>
    <row r="4" spans="1:19" ht="15" customHeight="1" x14ac:dyDescent="0.25">
      <c r="A4" s="228" t="s">
        <v>55</v>
      </c>
      <c r="B4" s="260">
        <v>2568215</v>
      </c>
      <c r="C4" s="230"/>
      <c r="D4" s="231">
        <f t="shared" ref="D4:K4" si="0">D5*100/$C$5</f>
        <v>74.195666945988847</v>
      </c>
      <c r="E4" s="231">
        <f t="shared" si="0"/>
        <v>94.865419563790326</v>
      </c>
      <c r="F4" s="231">
        <f t="shared" si="0"/>
        <v>117.54166770061252</v>
      </c>
      <c r="G4" s="231">
        <f t="shared" si="0"/>
        <v>102.04947378335748</v>
      </c>
      <c r="H4" s="231">
        <f t="shared" si="0"/>
        <v>107.21482471380359</v>
      </c>
      <c r="I4" s="231">
        <f t="shared" si="0"/>
        <v>107.6153153852139</v>
      </c>
      <c r="J4" s="231">
        <f t="shared" si="0"/>
        <v>93.126698348759874</v>
      </c>
      <c r="K4" s="231">
        <f t="shared" si="0"/>
        <v>106.56387327147957</v>
      </c>
      <c r="L4" s="232"/>
      <c r="M4" s="232"/>
      <c r="N4" s="232"/>
      <c r="O4" s="232"/>
      <c r="P4" s="230"/>
      <c r="Q4" s="233"/>
      <c r="R4" s="233"/>
    </row>
    <row r="5" spans="1:19" ht="15.75" x14ac:dyDescent="0.25">
      <c r="A5" s="228" t="s">
        <v>56</v>
      </c>
      <c r="B5" s="229">
        <v>45174835</v>
      </c>
      <c r="C5" s="234">
        <f>B5/12</f>
        <v>3764569.5833333335</v>
      </c>
      <c r="D5" s="236">
        <f>2798553.51-5406</f>
        <v>2793147.51</v>
      </c>
      <c r="E5" s="236">
        <f>3586180.73-14906</f>
        <v>3571274.73</v>
      </c>
      <c r="F5" s="235">
        <f>4460063.87-35126</f>
        <v>4424937.87</v>
      </c>
      <c r="G5" s="237">
        <f>3876379.45-10536-24120</f>
        <v>3841723.45</v>
      </c>
      <c r="H5" s="237">
        <f>4068542.68-32366</f>
        <v>4036176.68</v>
      </c>
      <c r="I5" s="235">
        <f>4104559.43-53306</f>
        <v>4051253.43</v>
      </c>
      <c r="J5" s="235">
        <f>3521415.36-15596</f>
        <v>3505819.36</v>
      </c>
      <c r="K5" s="235">
        <f>4051217.16-39546</f>
        <v>4011671.16</v>
      </c>
      <c r="L5" s="235"/>
      <c r="M5" s="235"/>
      <c r="N5" s="235"/>
      <c r="O5" s="237"/>
      <c r="P5" s="238">
        <f>SUM(D5:O5)</f>
        <v>30236004.189999998</v>
      </c>
      <c r="Q5" s="239">
        <f>C5*Q2</f>
        <v>30116556.666666668</v>
      </c>
      <c r="R5" s="240">
        <f>P5-Q5</f>
        <v>119447.52333332971</v>
      </c>
    </row>
    <row r="6" spans="1:19" ht="15.75" x14ac:dyDescent="0.25">
      <c r="A6" s="228" t="s">
        <v>135</v>
      </c>
      <c r="B6" s="241"/>
      <c r="C6" s="242"/>
      <c r="D6" s="236"/>
      <c r="E6" s="236"/>
      <c r="F6" s="235"/>
      <c r="G6" s="237"/>
      <c r="H6" s="235"/>
      <c r="I6" s="235"/>
      <c r="J6" s="235"/>
      <c r="K6" s="235"/>
      <c r="L6" s="235"/>
      <c r="M6" s="235"/>
      <c r="N6" s="235"/>
      <c r="O6" s="237"/>
      <c r="P6" s="238"/>
      <c r="Q6" s="243"/>
      <c r="R6" s="240">
        <f t="shared" ref="R6:R8" si="1">P6-Q6</f>
        <v>0</v>
      </c>
    </row>
    <row r="7" spans="1:19" ht="15.75" x14ac:dyDescent="0.25">
      <c r="A7" s="228" t="s">
        <v>179</v>
      </c>
      <c r="B7" s="318">
        <v>1100000</v>
      </c>
      <c r="C7" s="319">
        <f>B7/12</f>
        <v>91666.666666666672</v>
      </c>
      <c r="D7" s="236">
        <f>97119</f>
        <v>97119</v>
      </c>
      <c r="E7" s="235">
        <v>97774</v>
      </c>
      <c r="F7" s="235">
        <v>41500</v>
      </c>
      <c r="G7" s="235">
        <v>44900</v>
      </c>
      <c r="H7" s="235">
        <v>82558</v>
      </c>
      <c r="I7" s="235">
        <v>116200</v>
      </c>
      <c r="J7" s="235">
        <v>86533</v>
      </c>
      <c r="K7" s="235">
        <v>137200</v>
      </c>
      <c r="L7" s="235"/>
      <c r="M7" s="235"/>
      <c r="N7" s="235"/>
      <c r="O7" s="237"/>
      <c r="P7" s="238">
        <f t="shared" ref="P7:P12" si="2">SUM(D7:O7)</f>
        <v>703784</v>
      </c>
      <c r="Q7" s="320">
        <f>C7*Q2</f>
        <v>733333.33333333337</v>
      </c>
      <c r="R7" s="240">
        <f t="shared" si="1"/>
        <v>-29549.333333333372</v>
      </c>
    </row>
    <row r="8" spans="1:19" ht="31.5" x14ac:dyDescent="0.25">
      <c r="A8" s="244" t="s">
        <v>207</v>
      </c>
      <c r="B8" s="245">
        <v>1060000</v>
      </c>
      <c r="C8" s="246">
        <f>B8/12</f>
        <v>88333.333333333328</v>
      </c>
      <c r="D8" s="247">
        <f>20000+20000+5406</f>
        <v>45406</v>
      </c>
      <c r="E8" s="247">
        <f>20000+20000+14906</f>
        <v>54906</v>
      </c>
      <c r="F8" s="247">
        <f>40000+20000+35126</f>
        <v>95126</v>
      </c>
      <c r="G8" s="247">
        <f>10536+24120+4000+20000</f>
        <v>58656</v>
      </c>
      <c r="H8" s="247">
        <f>20000+20000+140000+32366</f>
        <v>212366</v>
      </c>
      <c r="I8" s="247">
        <f>20000+20000+20000+53306</f>
        <v>113306</v>
      </c>
      <c r="J8" s="247">
        <f>15596+40000+40000+20000+79100</f>
        <v>194696</v>
      </c>
      <c r="K8" s="247">
        <f>39546+20000+40000+20000</f>
        <v>119546</v>
      </c>
      <c r="L8" s="247"/>
      <c r="M8" s="247"/>
      <c r="N8" s="247"/>
      <c r="O8" s="248"/>
      <c r="P8" s="249">
        <f t="shared" si="2"/>
        <v>894008</v>
      </c>
      <c r="Q8" s="250">
        <f>C8*Q2</f>
        <v>706666.66666666663</v>
      </c>
      <c r="R8" s="240">
        <f t="shared" si="1"/>
        <v>187341.33333333337</v>
      </c>
    </row>
    <row r="9" spans="1:19" ht="15.75" x14ac:dyDescent="0.25">
      <c r="A9" s="244" t="s">
        <v>332</v>
      </c>
      <c r="B9" s="245"/>
      <c r="C9" s="246"/>
      <c r="D9" s="247"/>
      <c r="E9" s="247"/>
      <c r="F9" s="247"/>
      <c r="G9" s="247"/>
      <c r="H9" s="247"/>
      <c r="I9" s="247"/>
      <c r="J9" s="247">
        <v>26400</v>
      </c>
      <c r="K9" s="247">
        <v>36800</v>
      </c>
      <c r="L9" s="247"/>
      <c r="M9" s="247"/>
      <c r="N9" s="247"/>
      <c r="O9" s="248"/>
      <c r="P9" s="238">
        <f t="shared" si="2"/>
        <v>63200</v>
      </c>
      <c r="Q9" s="250"/>
      <c r="R9" s="219"/>
    </row>
    <row r="10" spans="1:19" ht="15.75" x14ac:dyDescent="0.25">
      <c r="A10" s="251" t="s">
        <v>115</v>
      </c>
      <c r="B10" s="252"/>
      <c r="C10" s="252"/>
      <c r="D10" s="253">
        <f>3591+4760+21370.2</f>
        <v>29721.200000000001</v>
      </c>
      <c r="E10" s="253">
        <f>4306.5+2380+9974.47</f>
        <v>16660.97</v>
      </c>
      <c r="F10" s="253">
        <f>3510+2380</f>
        <v>5890</v>
      </c>
      <c r="G10" s="253">
        <f>22437.09+3649.5</f>
        <v>26086.59</v>
      </c>
      <c r="H10" s="253">
        <f>3919.5+4760</f>
        <v>8679.5</v>
      </c>
      <c r="I10" s="253">
        <f>3559.5+2380+5955.79</f>
        <v>11895.29</v>
      </c>
      <c r="J10" s="253">
        <f>7830+2380+11125.68</f>
        <v>21335.68</v>
      </c>
      <c r="K10" s="253">
        <f>3645+9679.12</f>
        <v>13324.12</v>
      </c>
      <c r="L10" s="253"/>
      <c r="M10" s="253"/>
      <c r="N10" s="253"/>
      <c r="O10" s="253"/>
      <c r="P10" s="238">
        <f t="shared" si="2"/>
        <v>133593.34999999998</v>
      </c>
      <c r="Q10" s="253"/>
      <c r="R10" s="221"/>
    </row>
    <row r="11" spans="1:19" ht="15.75" x14ac:dyDescent="0.25">
      <c r="A11" s="251" t="s">
        <v>148</v>
      </c>
      <c r="B11" s="252"/>
      <c r="C11" s="252"/>
      <c r="D11" s="253">
        <f>634900+6000</f>
        <v>640900</v>
      </c>
      <c r="E11" s="253"/>
      <c r="F11" s="253"/>
      <c r="G11" s="253"/>
      <c r="H11" s="253"/>
      <c r="I11" s="253">
        <v>24000</v>
      </c>
      <c r="J11" s="253"/>
      <c r="K11" s="253"/>
      <c r="L11" s="253"/>
      <c r="M11" s="253"/>
      <c r="N11" s="253"/>
      <c r="O11" s="253"/>
      <c r="P11" s="238">
        <f t="shared" si="2"/>
        <v>664900</v>
      </c>
      <c r="Q11" s="253"/>
      <c r="R11" s="221"/>
    </row>
    <row r="12" spans="1:19" ht="15.75" x14ac:dyDescent="0.25">
      <c r="A12" s="251" t="s">
        <v>147</v>
      </c>
      <c r="B12" s="252"/>
      <c r="C12" s="252"/>
      <c r="D12" s="253">
        <v>14997</v>
      </c>
      <c r="E12" s="253"/>
      <c r="F12" s="253">
        <v>1026</v>
      </c>
      <c r="G12" s="253"/>
      <c r="H12" s="253"/>
      <c r="I12" s="253">
        <v>1730</v>
      </c>
      <c r="J12" s="253"/>
      <c r="K12" s="253"/>
      <c r="L12" s="253"/>
      <c r="M12" s="253"/>
      <c r="N12" s="253"/>
      <c r="O12" s="253"/>
      <c r="P12" s="238">
        <f t="shared" si="2"/>
        <v>17753</v>
      </c>
      <c r="Q12" s="253"/>
      <c r="R12" s="221"/>
    </row>
    <row r="13" spans="1:19" ht="16.5" thickBot="1" x14ac:dyDescent="0.3">
      <c r="A13" s="254" t="s">
        <v>178</v>
      </c>
      <c r="B13" s="255"/>
      <c r="C13" s="255"/>
      <c r="D13" s="256">
        <f>D52-D53</f>
        <v>-18500</v>
      </c>
      <c r="E13" s="256">
        <f>E52-E53</f>
        <v>20300</v>
      </c>
      <c r="F13" s="256">
        <f>F52-F53</f>
        <v>-4000</v>
      </c>
      <c r="G13" s="256">
        <f t="shared" ref="G13:H13" si="3">G52-G53</f>
        <v>300</v>
      </c>
      <c r="H13" s="256">
        <f t="shared" si="3"/>
        <v>14200</v>
      </c>
      <c r="I13" s="256">
        <f>I52-I53</f>
        <v>-52700</v>
      </c>
      <c r="J13" s="256">
        <f t="shared" ref="J13:O13" si="4">J52-J53</f>
        <v>13200</v>
      </c>
      <c r="K13" s="256">
        <f t="shared" si="4"/>
        <v>-121200</v>
      </c>
      <c r="L13" s="256">
        <f t="shared" si="4"/>
        <v>0</v>
      </c>
      <c r="M13" s="256">
        <f t="shared" si="4"/>
        <v>0</v>
      </c>
      <c r="N13" s="256">
        <f t="shared" si="4"/>
        <v>0</v>
      </c>
      <c r="O13" s="256">
        <f t="shared" si="4"/>
        <v>0</v>
      </c>
      <c r="P13" s="257"/>
      <c r="Q13" s="258"/>
      <c r="R13" s="221"/>
    </row>
    <row r="14" spans="1:19" ht="15.75" x14ac:dyDescent="0.25">
      <c r="A14" s="259" t="s">
        <v>57</v>
      </c>
      <c r="B14" s="260">
        <f>SUM(B5:B12)</f>
        <v>47334835</v>
      </c>
      <c r="C14" s="261">
        <f>SUM(C5:C12)</f>
        <v>3944569.5833333335</v>
      </c>
      <c r="D14" s="262">
        <f t="shared" ref="D14:H14" si="5">SUM(D5:D13)</f>
        <v>3602790.71</v>
      </c>
      <c r="E14" s="262">
        <f t="shared" si="5"/>
        <v>3760915.7</v>
      </c>
      <c r="F14" s="262">
        <f t="shared" si="5"/>
        <v>4564479.87</v>
      </c>
      <c r="G14" s="262">
        <f t="shared" si="5"/>
        <v>3971666.04</v>
      </c>
      <c r="H14" s="262">
        <f t="shared" si="5"/>
        <v>4353980.18</v>
      </c>
      <c r="I14" s="262">
        <f>SUM(I5:I13)</f>
        <v>4265684.72</v>
      </c>
      <c r="J14" s="262">
        <f t="shared" ref="J14:O14" si="6">SUM(J5:J13)</f>
        <v>3847984.04</v>
      </c>
      <c r="K14" s="262">
        <f t="shared" si="6"/>
        <v>4197341.28</v>
      </c>
      <c r="L14" s="262">
        <f t="shared" si="6"/>
        <v>0</v>
      </c>
      <c r="M14" s="262">
        <f t="shared" si="6"/>
        <v>0</v>
      </c>
      <c r="N14" s="262">
        <f t="shared" si="6"/>
        <v>0</v>
      </c>
      <c r="O14" s="262">
        <f t="shared" si="6"/>
        <v>0</v>
      </c>
      <c r="P14" s="263">
        <f>SUM(D14:O14)</f>
        <v>32564842.539999999</v>
      </c>
      <c r="Q14" s="264">
        <f>SUM(Q5:Q12)</f>
        <v>31556556.666666668</v>
      </c>
      <c r="R14" s="265">
        <f>P14-Q14</f>
        <v>1008285.8733333312</v>
      </c>
      <c r="S14" s="266"/>
    </row>
    <row r="15" spans="1:19" ht="15.75" x14ac:dyDescent="0.25">
      <c r="A15" s="259" t="s">
        <v>58</v>
      </c>
      <c r="B15" s="229">
        <f>B14+B4</f>
        <v>49903050</v>
      </c>
      <c r="C15" s="267"/>
      <c r="D15" s="412">
        <f t="shared" ref="D15" si="7">D58</f>
        <v>3602790.71</v>
      </c>
      <c r="E15" s="412">
        <f t="shared" ref="E15:I15" si="8">E58</f>
        <v>3760915.7</v>
      </c>
      <c r="F15" s="412">
        <v>4592479.87</v>
      </c>
      <c r="G15" s="412">
        <f>G58</f>
        <v>3971666.04</v>
      </c>
      <c r="H15" s="412">
        <f t="shared" si="8"/>
        <v>4587808.18</v>
      </c>
      <c r="I15" s="412">
        <f t="shared" si="8"/>
        <v>4239524.72</v>
      </c>
      <c r="J15" s="412">
        <f t="shared" ref="J15:O15" si="9">J58</f>
        <v>4031284.04</v>
      </c>
      <c r="K15" s="412">
        <f t="shared" si="9"/>
        <v>5497341.2800000003</v>
      </c>
      <c r="L15" s="412">
        <f t="shared" si="9"/>
        <v>0</v>
      </c>
      <c r="M15" s="412">
        <f t="shared" si="9"/>
        <v>0</v>
      </c>
      <c r="N15" s="412">
        <f t="shared" si="9"/>
        <v>0</v>
      </c>
      <c r="O15" s="412">
        <f t="shared" si="9"/>
        <v>0</v>
      </c>
      <c r="P15" s="267"/>
      <c r="Q15" s="267"/>
      <c r="R15" s="267"/>
      <c r="S15" s="266"/>
    </row>
    <row r="16" spans="1:19" ht="33" customHeight="1" x14ac:dyDescent="0.3">
      <c r="A16" s="268" t="s">
        <v>26</v>
      </c>
      <c r="B16" s="269"/>
      <c r="C16" s="270"/>
      <c r="D16" s="413">
        <f>D14-D15</f>
        <v>0</v>
      </c>
      <c r="E16" s="413">
        <f t="shared" ref="E16" si="10">E14-E15</f>
        <v>0</v>
      </c>
      <c r="F16" s="413">
        <f>F14-F15+'спец авто транспорт'!D14</f>
        <v>0</v>
      </c>
      <c r="G16" s="413">
        <f>G14-G15</f>
        <v>0</v>
      </c>
      <c r="H16" s="413">
        <f>H14-H15-канализация!F28</f>
        <v>0</v>
      </c>
      <c r="I16" s="414">
        <f>I14-I15-26160</f>
        <v>0</v>
      </c>
      <c r="J16" s="413">
        <f>J14-J15+183300</f>
        <v>0</v>
      </c>
      <c r="K16" s="413">
        <f>K14-K15+1300000</f>
        <v>0</v>
      </c>
      <c r="L16" s="413">
        <f t="shared" ref="L16:O16" si="11">L14-L15</f>
        <v>0</v>
      </c>
      <c r="M16" s="413">
        <f t="shared" si="11"/>
        <v>0</v>
      </c>
      <c r="N16" s="413">
        <f t="shared" si="11"/>
        <v>0</v>
      </c>
      <c r="O16" s="413">
        <f t="shared" si="11"/>
        <v>0</v>
      </c>
      <c r="P16" s="270"/>
      <c r="Q16" s="271"/>
      <c r="R16" s="272" t="s">
        <v>27</v>
      </c>
    </row>
    <row r="17" spans="1:22" ht="15.75" x14ac:dyDescent="0.25">
      <c r="A17" s="273" t="s">
        <v>28</v>
      </c>
      <c r="B17" s="229">
        <v>950000</v>
      </c>
      <c r="C17" s="234">
        <f t="shared" ref="C17:C34" si="12">B17/12</f>
        <v>79166.666666666672</v>
      </c>
      <c r="D17" s="332">
        <f>'общехоз расходы'!B104</f>
        <v>69467.81</v>
      </c>
      <c r="E17" s="332">
        <f>'общехоз расходы'!C104</f>
        <v>49239.99</v>
      </c>
      <c r="F17" s="332">
        <f>'общехоз расходы'!D104</f>
        <v>42463.18</v>
      </c>
      <c r="G17" s="332">
        <f>'общехоз расходы'!E104</f>
        <v>96313.07</v>
      </c>
      <c r="H17" s="332">
        <f>'общехоз расходы'!F104</f>
        <v>69116.63</v>
      </c>
      <c r="I17" s="332">
        <f>'общехоз расходы'!G104</f>
        <v>89916.73</v>
      </c>
      <c r="J17" s="332">
        <f>'общехоз расходы'!H104</f>
        <v>105228.67</v>
      </c>
      <c r="K17" s="332">
        <f>'общехоз расходы'!I104</f>
        <v>45388.710000000006</v>
      </c>
      <c r="L17" s="332">
        <f>'общехоз расходы'!J104</f>
        <v>0</v>
      </c>
      <c r="M17" s="332">
        <f>'общехоз расходы'!K104</f>
        <v>0</v>
      </c>
      <c r="N17" s="332">
        <f>'общехоз расходы'!L104</f>
        <v>0</v>
      </c>
      <c r="O17" s="332">
        <f>'общехоз расходы'!M104</f>
        <v>0</v>
      </c>
      <c r="P17" s="257">
        <f t="shared" ref="P17:P34" si="13">SUM(D17:O17)</f>
        <v>567134.78999999992</v>
      </c>
      <c r="Q17" s="239">
        <f t="shared" ref="Q17:Q29" si="14">C17*$Q$2</f>
        <v>633333.33333333337</v>
      </c>
      <c r="R17" s="275">
        <f t="shared" ref="R17:R28" si="15">Q17-P17</f>
        <v>66198.543333333451</v>
      </c>
    </row>
    <row r="18" spans="1:22" ht="15.75" x14ac:dyDescent="0.25">
      <c r="A18" s="227" t="s">
        <v>29</v>
      </c>
      <c r="B18" s="260">
        <v>80000</v>
      </c>
      <c r="C18" s="234">
        <f t="shared" si="12"/>
        <v>6666.666666666667</v>
      </c>
      <c r="D18" s="333">
        <f>'прогр обесп'!B10</f>
        <v>0</v>
      </c>
      <c r="E18" s="333">
        <f>'прогр обесп'!C10</f>
        <v>3790</v>
      </c>
      <c r="F18" s="333">
        <f>'прогр обесп'!D10</f>
        <v>3000</v>
      </c>
      <c r="G18" s="333">
        <f>'прогр обесп'!E10</f>
        <v>5000</v>
      </c>
      <c r="H18" s="333">
        <f>'прогр обесп'!F10</f>
        <v>3750</v>
      </c>
      <c r="I18" s="333">
        <f>'прогр обесп'!G10</f>
        <v>3590</v>
      </c>
      <c r="J18" s="333">
        <f>'прогр обесп'!H10</f>
        <v>0</v>
      </c>
      <c r="K18" s="333">
        <f>'прогр обесп'!I10</f>
        <v>9203.4500000000007</v>
      </c>
      <c r="L18" s="333">
        <f>'прогр обесп'!J10</f>
        <v>0</v>
      </c>
      <c r="M18" s="333">
        <f>'прогр обесп'!K10</f>
        <v>0</v>
      </c>
      <c r="N18" s="333">
        <f>'прогр обесп'!L10</f>
        <v>0</v>
      </c>
      <c r="O18" s="333">
        <f>'прогр обесп'!M10</f>
        <v>0</v>
      </c>
      <c r="P18" s="238">
        <f t="shared" si="13"/>
        <v>28333.45</v>
      </c>
      <c r="Q18" s="239">
        <f t="shared" si="14"/>
        <v>53333.333333333336</v>
      </c>
      <c r="R18" s="275">
        <f t="shared" si="15"/>
        <v>24999.883333333335</v>
      </c>
    </row>
    <row r="19" spans="1:22" ht="15.75" x14ac:dyDescent="0.25">
      <c r="A19" s="273" t="s">
        <v>30</v>
      </c>
      <c r="B19" s="229">
        <v>140000</v>
      </c>
      <c r="C19" s="234">
        <f t="shared" si="12"/>
        <v>11666.666666666666</v>
      </c>
      <c r="D19" s="332">
        <f>связь!B8</f>
        <v>7200</v>
      </c>
      <c r="E19" s="332">
        <f>связь!C8</f>
        <v>13200</v>
      </c>
      <c r="F19" s="332">
        <f>связь!D8</f>
        <v>7200</v>
      </c>
      <c r="G19" s="332">
        <f>связь!E8</f>
        <v>7200</v>
      </c>
      <c r="H19" s="332">
        <f>связь!F8</f>
        <v>11700</v>
      </c>
      <c r="I19" s="332">
        <f>связь!G8</f>
        <v>16400</v>
      </c>
      <c r="J19" s="332">
        <f>связь!H8</f>
        <v>8200</v>
      </c>
      <c r="K19" s="332">
        <f>связь!I8</f>
        <v>8200</v>
      </c>
      <c r="L19" s="332">
        <f>связь!J8</f>
        <v>0</v>
      </c>
      <c r="M19" s="332">
        <f>связь!K8</f>
        <v>0</v>
      </c>
      <c r="N19" s="332">
        <f>связь!L8</f>
        <v>0</v>
      </c>
      <c r="O19" s="332">
        <f>связь!M8</f>
        <v>0</v>
      </c>
      <c r="P19" s="238">
        <f t="shared" si="13"/>
        <v>79300</v>
      </c>
      <c r="Q19" s="239">
        <f t="shared" si="14"/>
        <v>93333.333333333328</v>
      </c>
      <c r="R19" s="275">
        <f t="shared" si="15"/>
        <v>14033.333333333328</v>
      </c>
    </row>
    <row r="20" spans="1:22" ht="15.75" x14ac:dyDescent="0.25">
      <c r="A20" s="227" t="s">
        <v>59</v>
      </c>
      <c r="B20" s="260">
        <v>11101200</v>
      </c>
      <c r="C20" s="234">
        <f t="shared" si="12"/>
        <v>925100</v>
      </c>
      <c r="D20" s="333">
        <f>'з пл'!B6</f>
        <v>653095.5</v>
      </c>
      <c r="E20" s="333">
        <f>'з пл'!C6</f>
        <v>1383907.9000000001</v>
      </c>
      <c r="F20" s="333">
        <f>'з пл'!D6</f>
        <v>425913.93</v>
      </c>
      <c r="G20" s="333">
        <f>'з пл'!E6</f>
        <v>799068.54999999993</v>
      </c>
      <c r="H20" s="333">
        <f>'з пл'!F6</f>
        <v>833380.42999999993</v>
      </c>
      <c r="I20" s="333">
        <f>'з пл'!G6</f>
        <v>1012977.23</v>
      </c>
      <c r="J20" s="333">
        <f>'з пл'!H6</f>
        <v>847323.06</v>
      </c>
      <c r="K20" s="333">
        <f>'з пл'!I6</f>
        <v>1020880.6799999999</v>
      </c>
      <c r="L20" s="333">
        <f>'з пл'!J6</f>
        <v>0</v>
      </c>
      <c r="M20" s="333">
        <f>'з пл'!K6</f>
        <v>0</v>
      </c>
      <c r="N20" s="333">
        <f>'з пл'!L6</f>
        <v>0</v>
      </c>
      <c r="O20" s="333">
        <f>'з пл'!M6</f>
        <v>0</v>
      </c>
      <c r="P20" s="238">
        <f t="shared" si="13"/>
        <v>6976547.2799999993</v>
      </c>
      <c r="Q20" s="239">
        <f t="shared" si="14"/>
        <v>7400800</v>
      </c>
      <c r="R20" s="275">
        <f t="shared" si="15"/>
        <v>424252.72000000067</v>
      </c>
    </row>
    <row r="21" spans="1:22" ht="15.75" x14ac:dyDescent="0.25">
      <c r="A21" s="227" t="s">
        <v>34</v>
      </c>
      <c r="B21" s="260">
        <v>3473400</v>
      </c>
      <c r="C21" s="234">
        <f t="shared" si="12"/>
        <v>289450</v>
      </c>
      <c r="D21" s="334">
        <f>'налог с ФОТ'!B6</f>
        <v>187389.58</v>
      </c>
      <c r="E21" s="334">
        <f>'налог с ФОТ'!C6</f>
        <v>370898.25</v>
      </c>
      <c r="F21" s="334">
        <f>'налог с ФОТ'!D6</f>
        <v>0.05</v>
      </c>
      <c r="G21" s="334">
        <f>'налог с ФОТ'!E6</f>
        <v>222487.03</v>
      </c>
      <c r="H21" s="334">
        <f>'налог с ФОТ'!F6</f>
        <v>244444.64</v>
      </c>
      <c r="I21" s="334">
        <f>'налог с ФОТ'!G6</f>
        <v>231560.44999999998</v>
      </c>
      <c r="J21" s="334">
        <f>'налог с ФОТ'!H6</f>
        <v>239951.28</v>
      </c>
      <c r="K21" s="334">
        <f>'налог с ФОТ'!I6</f>
        <v>252821.43</v>
      </c>
      <c r="L21" s="334">
        <f>'налог с ФОТ'!J6</f>
        <v>0</v>
      </c>
      <c r="M21" s="334">
        <f>'налог с ФОТ'!K6</f>
        <v>0</v>
      </c>
      <c r="N21" s="334">
        <f>'налог с ФОТ'!L6</f>
        <v>0</v>
      </c>
      <c r="O21" s="334">
        <f>'налог с ФОТ'!M6</f>
        <v>0</v>
      </c>
      <c r="P21" s="238">
        <f t="shared" si="13"/>
        <v>1749552.71</v>
      </c>
      <c r="Q21" s="239">
        <f t="shared" si="14"/>
        <v>2315600</v>
      </c>
      <c r="R21" s="275">
        <f t="shared" si="15"/>
        <v>566047.29</v>
      </c>
    </row>
    <row r="22" spans="1:22" ht="15.75" x14ac:dyDescent="0.25">
      <c r="A22" s="273" t="s">
        <v>36</v>
      </c>
      <c r="B22" s="229">
        <v>6200000</v>
      </c>
      <c r="C22" s="234">
        <f t="shared" si="12"/>
        <v>516666.66666666669</v>
      </c>
      <c r="D22" s="332">
        <f>мусор!B10</f>
        <v>525017.63</v>
      </c>
      <c r="E22" s="332">
        <f>мусор!C10</f>
        <v>336017.63</v>
      </c>
      <c r="F22" s="332">
        <f>мусор!D10</f>
        <v>190017.63</v>
      </c>
      <c r="G22" s="332">
        <f>мусор!E10</f>
        <v>238017.63</v>
      </c>
      <c r="H22" s="332">
        <f>мусор!F10</f>
        <v>155210.06</v>
      </c>
      <c r="I22" s="332">
        <f>мусор!G10</f>
        <v>252900</v>
      </c>
      <c r="J22" s="332">
        <f>мусор!H10</f>
        <v>440800</v>
      </c>
      <c r="K22" s="332">
        <f>мусор!I10</f>
        <v>514370.19</v>
      </c>
      <c r="L22" s="332">
        <f>мусор!J10</f>
        <v>0</v>
      </c>
      <c r="M22" s="332">
        <f>мусор!K10</f>
        <v>0</v>
      </c>
      <c r="N22" s="332">
        <f>мусор!L10</f>
        <v>0</v>
      </c>
      <c r="O22" s="332">
        <f>мусор!M10</f>
        <v>0</v>
      </c>
      <c r="P22" s="238">
        <f t="shared" si="13"/>
        <v>2652350.77</v>
      </c>
      <c r="Q22" s="239">
        <f>C22*$Q$2</f>
        <v>4133333.3333333335</v>
      </c>
      <c r="R22" s="275">
        <f>Q22-P22</f>
        <v>1480982.5633333335</v>
      </c>
    </row>
    <row r="23" spans="1:22" ht="15.75" x14ac:dyDescent="0.25">
      <c r="A23" s="273" t="s">
        <v>37</v>
      </c>
      <c r="B23" s="229">
        <v>7804800</v>
      </c>
      <c r="C23" s="234">
        <f t="shared" si="12"/>
        <v>650400</v>
      </c>
      <c r="D23" s="274">
        <v>650400</v>
      </c>
      <c r="E23" s="274">
        <v>650400</v>
      </c>
      <c r="F23" s="274">
        <v>650400</v>
      </c>
      <c r="G23" s="274">
        <v>650400</v>
      </c>
      <c r="H23" s="274">
        <v>650400</v>
      </c>
      <c r="I23" s="274">
        <f>650400+650400</f>
        <v>1300800</v>
      </c>
      <c r="J23" s="274">
        <v>703000</v>
      </c>
      <c r="K23" s="274">
        <v>703000</v>
      </c>
      <c r="L23" s="274"/>
      <c r="M23" s="274"/>
      <c r="N23" s="274"/>
      <c r="O23" s="274"/>
      <c r="P23" s="238">
        <f t="shared" si="13"/>
        <v>5958800</v>
      </c>
      <c r="Q23" s="239">
        <f t="shared" si="14"/>
        <v>5203200</v>
      </c>
      <c r="R23" s="275">
        <f t="shared" si="15"/>
        <v>-755600</v>
      </c>
    </row>
    <row r="24" spans="1:22" ht="15.75" x14ac:dyDescent="0.25">
      <c r="A24" s="227" t="s">
        <v>38</v>
      </c>
      <c r="B24" s="260">
        <v>200000</v>
      </c>
      <c r="C24" s="234">
        <f t="shared" si="12"/>
        <v>16666.666666666668</v>
      </c>
      <c r="D24" s="276">
        <v>17888.98</v>
      </c>
      <c r="E24" s="276">
        <v>17888.98</v>
      </c>
      <c r="F24" s="276">
        <v>17888.98</v>
      </c>
      <c r="G24" s="276">
        <v>17888.98</v>
      </c>
      <c r="H24" s="276">
        <v>17888.98</v>
      </c>
      <c r="I24" s="276">
        <f>17888.98+17888.98</f>
        <v>35777.96</v>
      </c>
      <c r="J24" s="276">
        <v>17888.98</v>
      </c>
      <c r="K24" s="276">
        <v>17888.98</v>
      </c>
      <c r="L24" s="276"/>
      <c r="M24" s="276"/>
      <c r="N24" s="276"/>
      <c r="O24" s="276"/>
      <c r="P24" s="238">
        <f t="shared" si="13"/>
        <v>161000.82</v>
      </c>
      <c r="Q24" s="239">
        <f t="shared" si="14"/>
        <v>133333.33333333334</v>
      </c>
      <c r="R24" s="275">
        <f t="shared" si="15"/>
        <v>-27667.486666666664</v>
      </c>
    </row>
    <row r="25" spans="1:22" ht="15.75" x14ac:dyDescent="0.25">
      <c r="A25" s="273" t="s">
        <v>39</v>
      </c>
      <c r="B25" s="229">
        <v>250000</v>
      </c>
      <c r="C25" s="234">
        <f t="shared" si="12"/>
        <v>20833.333333333332</v>
      </c>
      <c r="D25" s="332">
        <f>вода!B31</f>
        <v>54965</v>
      </c>
      <c r="E25" s="332">
        <f>вода!C31</f>
        <v>33200</v>
      </c>
      <c r="F25" s="332">
        <f>вода!D31</f>
        <v>34476</v>
      </c>
      <c r="G25" s="332">
        <f>вода!E31</f>
        <v>5965</v>
      </c>
      <c r="H25" s="332">
        <f>вода!F31</f>
        <v>51768</v>
      </c>
      <c r="I25" s="332">
        <f>вода!G31</f>
        <v>65618</v>
      </c>
      <c r="J25" s="332">
        <f>вода!H31</f>
        <v>1231</v>
      </c>
      <c r="K25" s="332">
        <f>вода!I31</f>
        <v>74135</v>
      </c>
      <c r="L25" s="332">
        <f>вода!J31</f>
        <v>0</v>
      </c>
      <c r="M25" s="332">
        <f>вода!K31</f>
        <v>0</v>
      </c>
      <c r="N25" s="332">
        <f>вода!L31</f>
        <v>0</v>
      </c>
      <c r="O25" s="332">
        <f>вода!M31</f>
        <v>0</v>
      </c>
      <c r="P25" s="238">
        <f t="shared" si="13"/>
        <v>321358</v>
      </c>
      <c r="Q25" s="239">
        <f t="shared" si="14"/>
        <v>166666.66666666666</v>
      </c>
      <c r="R25" s="275">
        <f t="shared" si="15"/>
        <v>-154691.33333333334</v>
      </c>
    </row>
    <row r="26" spans="1:22" ht="15.75" x14ac:dyDescent="0.25">
      <c r="A26" s="273" t="s">
        <v>180</v>
      </c>
      <c r="B26" s="229">
        <v>450000</v>
      </c>
      <c r="C26" s="234">
        <f t="shared" si="12"/>
        <v>37500</v>
      </c>
      <c r="D26" s="332">
        <f>канализация!B59</f>
        <v>35385</v>
      </c>
      <c r="E26" s="332">
        <f>канализация!C59</f>
        <v>177740.88</v>
      </c>
      <c r="F26" s="332">
        <f>канализация!D59</f>
        <v>2464</v>
      </c>
      <c r="G26" s="332">
        <f>канализация!E59</f>
        <v>59172</v>
      </c>
      <c r="H26" s="332">
        <f>канализация!F59</f>
        <v>-139824.82999999999</v>
      </c>
      <c r="I26" s="332">
        <f>канализация!G59</f>
        <v>48980.5</v>
      </c>
      <c r="J26" s="332">
        <f>канализация!H59</f>
        <v>25855</v>
      </c>
      <c r="K26" s="332">
        <f>канализация!I59</f>
        <v>132470</v>
      </c>
      <c r="L26" s="332">
        <f>канализация!J59</f>
        <v>0</v>
      </c>
      <c r="M26" s="332">
        <f>канализация!K59</f>
        <v>0</v>
      </c>
      <c r="N26" s="332">
        <f>канализация!L59</f>
        <v>0</v>
      </c>
      <c r="O26" s="332">
        <f>канализация!M59</f>
        <v>0</v>
      </c>
      <c r="P26" s="238">
        <f t="shared" si="13"/>
        <v>342242.55000000005</v>
      </c>
      <c r="Q26" s="239">
        <f t="shared" si="14"/>
        <v>300000</v>
      </c>
      <c r="R26" s="275">
        <f t="shared" si="15"/>
        <v>-42242.550000000047</v>
      </c>
    </row>
    <row r="27" spans="1:22" ht="15.75" x14ac:dyDescent="0.25">
      <c r="A27" s="273" t="s">
        <v>60</v>
      </c>
      <c r="B27" s="229">
        <v>2100000</v>
      </c>
      <c r="C27" s="234">
        <f t="shared" si="12"/>
        <v>175000</v>
      </c>
      <c r="D27" s="332">
        <f>эл.снабж!B60</f>
        <v>136726.22</v>
      </c>
      <c r="E27" s="332">
        <f>эл.снабж!C60</f>
        <v>206829.35</v>
      </c>
      <c r="F27" s="332">
        <f>эл.снабж!D60</f>
        <v>299571.77</v>
      </c>
      <c r="G27" s="332">
        <f>эл.снабж!E60</f>
        <v>243727.27</v>
      </c>
      <c r="H27" s="332">
        <f>эл.снабж!F60</f>
        <v>257174.03</v>
      </c>
      <c r="I27" s="332">
        <f>эл.снабж!G60</f>
        <v>370022.3</v>
      </c>
      <c r="J27" s="332">
        <f>эл.снабж!H60</f>
        <v>185486.44</v>
      </c>
      <c r="K27" s="332">
        <f>эл.снабж!I60</f>
        <v>120602.98</v>
      </c>
      <c r="L27" s="332">
        <f>эл.снабж!J60</f>
        <v>0</v>
      </c>
      <c r="M27" s="332">
        <f>эл.снабж!K60</f>
        <v>0</v>
      </c>
      <c r="N27" s="332">
        <f>эл.снабж!L60</f>
        <v>0</v>
      </c>
      <c r="O27" s="332">
        <f>эл.снабж!M60</f>
        <v>0</v>
      </c>
      <c r="P27" s="238">
        <f t="shared" si="13"/>
        <v>1820140.36</v>
      </c>
      <c r="Q27" s="239">
        <f t="shared" si="14"/>
        <v>1400000</v>
      </c>
      <c r="R27" s="275">
        <f t="shared" si="15"/>
        <v>-420140.3600000001</v>
      </c>
      <c r="V27" s="221" t="s">
        <v>61</v>
      </c>
    </row>
    <row r="28" spans="1:22" ht="30" x14ac:dyDescent="0.25">
      <c r="A28" s="273" t="s">
        <v>181</v>
      </c>
      <c r="B28" s="229">
        <v>400000</v>
      </c>
      <c r="C28" s="234">
        <f t="shared" si="12"/>
        <v>33333.333333333336</v>
      </c>
      <c r="D28" s="332">
        <f>'спец авто транспорт'!B30</f>
        <v>23006</v>
      </c>
      <c r="E28" s="332">
        <f>'спец авто транспорт'!C30</f>
        <v>67127.8</v>
      </c>
      <c r="F28" s="332">
        <f>'спец авто транспорт'!D30</f>
        <v>56601.380000000005</v>
      </c>
      <c r="G28" s="332">
        <f>'спец авто транспорт'!E30</f>
        <v>41997.08</v>
      </c>
      <c r="H28" s="332">
        <f>'спец авто транспорт'!F30</f>
        <v>140148.47</v>
      </c>
      <c r="I28" s="332">
        <f>'спец авто транспорт'!G30</f>
        <v>30759.360000000001</v>
      </c>
      <c r="J28" s="332">
        <f>'спец авто транспорт'!H30</f>
        <v>9872.7000000000007</v>
      </c>
      <c r="K28" s="332">
        <f>'спец авто транспорт'!I30</f>
        <v>5765.8</v>
      </c>
      <c r="L28" s="332">
        <f>'спец авто транспорт'!J30</f>
        <v>0</v>
      </c>
      <c r="M28" s="332">
        <f>'спец авто транспорт'!K30</f>
        <v>0</v>
      </c>
      <c r="N28" s="332">
        <f>'спец авто транспорт'!L30</f>
        <v>0</v>
      </c>
      <c r="O28" s="332">
        <f>'спец авто транспорт'!M30</f>
        <v>0</v>
      </c>
      <c r="P28" s="238">
        <f t="shared" si="13"/>
        <v>375278.58999999997</v>
      </c>
      <c r="Q28" s="239">
        <f t="shared" si="14"/>
        <v>266666.66666666669</v>
      </c>
      <c r="R28" s="275">
        <f t="shared" si="15"/>
        <v>-108611.92333333328</v>
      </c>
    </row>
    <row r="29" spans="1:22" ht="15.75" x14ac:dyDescent="0.25">
      <c r="A29" s="273" t="s">
        <v>45</v>
      </c>
      <c r="B29" s="229">
        <v>450000</v>
      </c>
      <c r="C29" s="234">
        <f>B29/12</f>
        <v>37500</v>
      </c>
      <c r="D29" s="332">
        <f>'благ-во'!B50</f>
        <v>27744.42</v>
      </c>
      <c r="E29" s="332">
        <f>'благ-во'!C50</f>
        <v>18317</v>
      </c>
      <c r="F29" s="332">
        <f>'благ-во'!D50</f>
        <v>9583</v>
      </c>
      <c r="G29" s="332">
        <f>'благ-во'!E50</f>
        <v>5145</v>
      </c>
      <c r="H29" s="332">
        <f>'благ-во'!F50</f>
        <v>37420</v>
      </c>
      <c r="I29" s="332">
        <f>'благ-во'!G50</f>
        <v>65000</v>
      </c>
      <c r="J29" s="332">
        <f>'благ-во'!H50</f>
        <v>59729</v>
      </c>
      <c r="K29" s="332">
        <f>'благ-во'!I50</f>
        <v>63838.12</v>
      </c>
      <c r="L29" s="332">
        <f>'благ-во'!J50</f>
        <v>0</v>
      </c>
      <c r="M29" s="332">
        <f>'благ-во'!K50</f>
        <v>0</v>
      </c>
      <c r="N29" s="332">
        <f>'благ-во'!L50</f>
        <v>0</v>
      </c>
      <c r="O29" s="332">
        <f>'благ-во'!M50</f>
        <v>0</v>
      </c>
      <c r="P29" s="238">
        <f t="shared" si="13"/>
        <v>286776.53999999998</v>
      </c>
      <c r="Q29" s="239">
        <f t="shared" si="14"/>
        <v>300000</v>
      </c>
      <c r="R29" s="275">
        <f t="shared" ref="R29" si="16">Q29-P29</f>
        <v>13223.460000000021</v>
      </c>
    </row>
    <row r="30" spans="1:22" ht="15.75" x14ac:dyDescent="0.25">
      <c r="A30" s="273" t="s">
        <v>182</v>
      </c>
      <c r="B30" s="229">
        <v>1600000</v>
      </c>
      <c r="C30" s="234">
        <f t="shared" si="12"/>
        <v>133333.33333333334</v>
      </c>
      <c r="D30" s="274">
        <v>199000</v>
      </c>
      <c r="E30" s="274"/>
      <c r="F30" s="274"/>
      <c r="G30" s="274"/>
      <c r="H30" s="274"/>
      <c r="I30" s="274">
        <v>699500</v>
      </c>
      <c r="J30" s="274">
        <f>699500</f>
        <v>699500</v>
      </c>
      <c r="K30" s="274"/>
      <c r="L30" s="274"/>
      <c r="M30" s="274"/>
      <c r="N30" s="274"/>
      <c r="O30" s="274"/>
      <c r="P30" s="238">
        <f t="shared" si="13"/>
        <v>1598000</v>
      </c>
      <c r="Q30" s="328" t="s">
        <v>187</v>
      </c>
      <c r="R30" s="331">
        <f>B30-P30</f>
        <v>2000</v>
      </c>
    </row>
    <row r="31" spans="1:22" ht="15.75" x14ac:dyDescent="0.25">
      <c r="A31" s="227" t="s">
        <v>33</v>
      </c>
      <c r="B31" s="260">
        <v>400000</v>
      </c>
      <c r="C31" s="234">
        <f>B31/12</f>
        <v>33333.333333333336</v>
      </c>
      <c r="D31" s="333">
        <f>премии!B5</f>
        <v>0</v>
      </c>
      <c r="E31" s="333">
        <f>премии!C5</f>
        <v>51180</v>
      </c>
      <c r="F31" s="333">
        <f>премии!D5</f>
        <v>0</v>
      </c>
      <c r="G31" s="333">
        <f>премии!E5</f>
        <v>40000</v>
      </c>
      <c r="H31" s="333">
        <f>премии!F5</f>
        <v>5750</v>
      </c>
      <c r="I31" s="333">
        <f>премии!G5</f>
        <v>0</v>
      </c>
      <c r="J31" s="333">
        <f>премии!H5</f>
        <v>0</v>
      </c>
      <c r="K31" s="333">
        <f>премии!I5</f>
        <v>0</v>
      </c>
      <c r="L31" s="333">
        <f>премии!J5</f>
        <v>0</v>
      </c>
      <c r="M31" s="333">
        <f>премии!K5</f>
        <v>0</v>
      </c>
      <c r="N31" s="333">
        <f>премии!L5</f>
        <v>0</v>
      </c>
      <c r="O31" s="333">
        <f>премии!M5</f>
        <v>0</v>
      </c>
      <c r="P31" s="238">
        <f t="shared" si="13"/>
        <v>96930</v>
      </c>
      <c r="Q31" s="328" t="s">
        <v>187</v>
      </c>
      <c r="R31" s="331">
        <f>B31-P31</f>
        <v>303070</v>
      </c>
    </row>
    <row r="32" spans="1:22" ht="15.75" x14ac:dyDescent="0.25">
      <c r="A32" s="273" t="s">
        <v>62</v>
      </c>
      <c r="B32" s="229">
        <v>800000</v>
      </c>
      <c r="C32" s="234">
        <f t="shared" si="12"/>
        <v>66666.666666666672</v>
      </c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38">
        <f t="shared" si="13"/>
        <v>0</v>
      </c>
      <c r="Q32" s="328" t="s">
        <v>187</v>
      </c>
      <c r="R32" s="331">
        <f t="shared" ref="R32:R33" si="17">B32-P32</f>
        <v>800000</v>
      </c>
    </row>
    <row r="33" spans="1:19" ht="15.75" x14ac:dyDescent="0.25">
      <c r="A33" s="277" t="s">
        <v>63</v>
      </c>
      <c r="B33" s="241">
        <v>241600</v>
      </c>
      <c r="C33" s="234">
        <f t="shared" si="12"/>
        <v>20133.333333333332</v>
      </c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38">
        <f t="shared" si="13"/>
        <v>0</v>
      </c>
      <c r="Q33" s="328" t="s">
        <v>187</v>
      </c>
      <c r="R33" s="331">
        <f t="shared" si="17"/>
        <v>241600</v>
      </c>
    </row>
    <row r="34" spans="1:19" ht="16.5" thickBot="1" x14ac:dyDescent="0.3">
      <c r="A34" s="305" t="s">
        <v>47</v>
      </c>
      <c r="B34" s="280">
        <v>1832050</v>
      </c>
      <c r="C34" s="281">
        <f t="shared" si="12"/>
        <v>152670.83333333334</v>
      </c>
      <c r="D34" s="335">
        <f>'рез фонд'!B54</f>
        <v>93333.9</v>
      </c>
      <c r="E34" s="335">
        <f>'рез фонд'!C54</f>
        <v>0</v>
      </c>
      <c r="F34" s="335">
        <f>'рез фонд'!D54</f>
        <v>418156</v>
      </c>
      <c r="G34" s="335">
        <f>'рез фонд'!E54</f>
        <v>99190</v>
      </c>
      <c r="H34" s="335">
        <f>'рез фонд'!F54</f>
        <v>206419</v>
      </c>
      <c r="I34" s="335">
        <f>'рез фонд'!G54</f>
        <v>155909.76000000001</v>
      </c>
      <c r="J34" s="335">
        <f>'рез фонд'!H54</f>
        <v>130160</v>
      </c>
      <c r="K34" s="335">
        <f>'рез фонд'!I54</f>
        <v>80000</v>
      </c>
      <c r="L34" s="335">
        <f>'рез фонд'!J54</f>
        <v>0</v>
      </c>
      <c r="M34" s="335">
        <f>'рез фонд'!K54</f>
        <v>0</v>
      </c>
      <c r="N34" s="335">
        <f>'рез фонд'!L54</f>
        <v>0</v>
      </c>
      <c r="O34" s="335">
        <f>'рез фонд'!M54</f>
        <v>0</v>
      </c>
      <c r="P34" s="283">
        <f t="shared" si="13"/>
        <v>1183168.6600000001</v>
      </c>
      <c r="Q34" s="329" t="s">
        <v>187</v>
      </c>
      <c r="R34" s="330">
        <f t="shared" ref="R34" si="18">B34-P34</f>
        <v>648881.33999999985</v>
      </c>
      <c r="S34" s="279"/>
    </row>
    <row r="35" spans="1:19" ht="31.5" x14ac:dyDescent="0.25">
      <c r="A35" s="306" t="s">
        <v>64</v>
      </c>
      <c r="B35" s="299">
        <f t="shared" ref="B35:P35" si="19">SUM(B17:B34)</f>
        <v>38473050</v>
      </c>
      <c r="C35" s="299">
        <f t="shared" si="19"/>
        <v>3206087.5000000009</v>
      </c>
      <c r="D35" s="299">
        <f t="shared" si="19"/>
        <v>2680620.04</v>
      </c>
      <c r="E35" s="299">
        <f t="shared" si="19"/>
        <v>3379737.78</v>
      </c>
      <c r="F35" s="299">
        <f t="shared" si="19"/>
        <v>2157735.92</v>
      </c>
      <c r="G35" s="299">
        <f t="shared" si="19"/>
        <v>2531571.61</v>
      </c>
      <c r="H35" s="299">
        <f>SUM(H17:H34)</f>
        <v>2544745.41</v>
      </c>
      <c r="I35" s="299">
        <f t="shared" si="19"/>
        <v>4379712.2899999991</v>
      </c>
      <c r="J35" s="299">
        <f>SUM(J17:J34)</f>
        <v>3474226.13</v>
      </c>
      <c r="K35" s="299">
        <f t="shared" si="19"/>
        <v>3048565.34</v>
      </c>
      <c r="L35" s="299">
        <f t="shared" si="19"/>
        <v>0</v>
      </c>
      <c r="M35" s="299">
        <f t="shared" si="19"/>
        <v>0</v>
      </c>
      <c r="N35" s="299">
        <f t="shared" si="19"/>
        <v>0</v>
      </c>
      <c r="O35" s="299">
        <f t="shared" si="19"/>
        <v>0</v>
      </c>
      <c r="P35" s="299">
        <f t="shared" si="19"/>
        <v>24196914.52</v>
      </c>
      <c r="Q35" s="299" t="s">
        <v>187</v>
      </c>
      <c r="R35" s="299">
        <f>SUM(R17:R34)</f>
        <v>3076335.4800000009</v>
      </c>
      <c r="S35" s="279"/>
    </row>
    <row r="36" spans="1:19" ht="15.75" x14ac:dyDescent="0.25">
      <c r="A36" s="300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79"/>
    </row>
    <row r="37" spans="1:19" ht="15.75" x14ac:dyDescent="0.25">
      <c r="A37" s="303" t="s">
        <v>66</v>
      </c>
      <c r="B37" s="229">
        <v>5000000</v>
      </c>
      <c r="C37" s="234">
        <f t="shared" ref="C37:C45" si="20">B37/12</f>
        <v>416666.66666666669</v>
      </c>
      <c r="D37" s="274" t="s">
        <v>61</v>
      </c>
      <c r="E37" s="274"/>
      <c r="F37" s="274">
        <f>607410.22+370886+4110+37400+18100+6165</f>
        <v>1044071.22</v>
      </c>
      <c r="G37" s="274"/>
      <c r="H37" s="274">
        <f>4497+279034.74-32600</f>
        <v>250931.74</v>
      </c>
      <c r="I37" s="274"/>
      <c r="J37" s="274">
        <f>105908+388710+45389.4+370851</f>
        <v>910858.4</v>
      </c>
      <c r="K37" s="274">
        <f>252072+577500+71113</f>
        <v>900685</v>
      </c>
      <c r="L37" s="274"/>
      <c r="M37" s="274"/>
      <c r="N37" s="274"/>
      <c r="O37" s="274">
        <v>0</v>
      </c>
      <c r="P37" s="238">
        <f t="shared" ref="P37:P45" si="21">SUM(D37:O37)</f>
        <v>3106546.36</v>
      </c>
      <c r="Q37" s="331" t="s">
        <v>187</v>
      </c>
      <c r="R37" s="301">
        <f t="shared" ref="R37:R45" si="22">B37-P37</f>
        <v>1893453.6400000001</v>
      </c>
    </row>
    <row r="38" spans="1:19" ht="15.75" x14ac:dyDescent="0.25">
      <c r="A38" s="227" t="s">
        <v>126</v>
      </c>
      <c r="B38" s="260">
        <v>2900000</v>
      </c>
      <c r="C38" s="234">
        <f t="shared" si="20"/>
        <v>241666.66666666666</v>
      </c>
      <c r="D38" s="276"/>
      <c r="E38" s="276">
        <v>776930</v>
      </c>
      <c r="F38" s="276"/>
      <c r="G38" s="276"/>
      <c r="H38" s="276">
        <f>307440+32600</f>
        <v>340040</v>
      </c>
      <c r="I38" s="276">
        <f>1560000+520001</f>
        <v>2080001</v>
      </c>
      <c r="J38" s="276"/>
      <c r="K38" s="276"/>
      <c r="L38" s="276"/>
      <c r="M38" s="276"/>
      <c r="N38" s="276"/>
      <c r="O38" s="276"/>
      <c r="P38" s="238">
        <f t="shared" si="21"/>
        <v>3196971</v>
      </c>
      <c r="Q38" s="328" t="s">
        <v>187</v>
      </c>
      <c r="R38" s="301">
        <f t="shared" si="22"/>
        <v>-296971</v>
      </c>
    </row>
    <row r="39" spans="1:19" ht="15.75" x14ac:dyDescent="0.25">
      <c r="A39" s="227" t="s">
        <v>67</v>
      </c>
      <c r="B39" s="260">
        <v>260000</v>
      </c>
      <c r="C39" s="234">
        <f t="shared" si="20"/>
        <v>21666.666666666668</v>
      </c>
      <c r="D39" s="276"/>
      <c r="E39" s="276">
        <v>180000</v>
      </c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38">
        <f t="shared" si="21"/>
        <v>180000</v>
      </c>
      <c r="Q39" s="328" t="s">
        <v>187</v>
      </c>
      <c r="R39" s="301">
        <f t="shared" si="22"/>
        <v>80000</v>
      </c>
    </row>
    <row r="40" spans="1:19" ht="30" x14ac:dyDescent="0.25">
      <c r="A40" s="273" t="s">
        <v>183</v>
      </c>
      <c r="B40" s="229">
        <v>1500000</v>
      </c>
      <c r="C40" s="234">
        <f t="shared" si="20"/>
        <v>125000</v>
      </c>
      <c r="D40" s="274">
        <f>917000-D43</f>
        <v>668120</v>
      </c>
      <c r="E40" s="274"/>
      <c r="F40" s="274">
        <f>437055+57134.7+158400</f>
        <v>652589.69999999995</v>
      </c>
      <c r="G40" s="274">
        <v>4082</v>
      </c>
      <c r="H40" s="274"/>
      <c r="I40" s="274"/>
      <c r="J40" s="274"/>
      <c r="K40" s="274"/>
      <c r="L40" s="274"/>
      <c r="M40" s="274"/>
      <c r="N40" s="274"/>
      <c r="O40" s="274"/>
      <c r="P40" s="238">
        <f t="shared" si="21"/>
        <v>1324791.7</v>
      </c>
      <c r="Q40" s="328" t="s">
        <v>187</v>
      </c>
      <c r="R40" s="301">
        <f t="shared" si="22"/>
        <v>175208.30000000005</v>
      </c>
    </row>
    <row r="41" spans="1:19" ht="30" x14ac:dyDescent="0.25">
      <c r="A41" s="273" t="s">
        <v>149</v>
      </c>
      <c r="B41" s="229">
        <v>60000</v>
      </c>
      <c r="C41" s="234">
        <f>B41/12</f>
        <v>5000</v>
      </c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38">
        <f t="shared" si="21"/>
        <v>0</v>
      </c>
      <c r="Q41" s="328" t="s">
        <v>187</v>
      </c>
      <c r="R41" s="301">
        <f t="shared" si="22"/>
        <v>60000</v>
      </c>
    </row>
    <row r="42" spans="1:19" ht="30" x14ac:dyDescent="0.25">
      <c r="A42" s="273" t="s">
        <v>127</v>
      </c>
      <c r="B42" s="229">
        <v>500000</v>
      </c>
      <c r="C42" s="234">
        <f t="shared" si="20"/>
        <v>41666.666666666664</v>
      </c>
      <c r="D42" s="274"/>
      <c r="E42" s="274"/>
      <c r="F42" s="274"/>
      <c r="G42" s="274"/>
      <c r="H42" s="274"/>
      <c r="I42" s="274"/>
      <c r="J42" s="274">
        <f>4008.03+340000</f>
        <v>344008.03</v>
      </c>
      <c r="K42" s="274">
        <f>28900+104012</f>
        <v>132912</v>
      </c>
      <c r="L42" s="274"/>
      <c r="M42" s="274"/>
      <c r="N42" s="274"/>
      <c r="O42" s="274"/>
      <c r="P42" s="238">
        <f t="shared" si="21"/>
        <v>476920.03</v>
      </c>
      <c r="Q42" s="328" t="s">
        <v>187</v>
      </c>
      <c r="R42" s="301">
        <f t="shared" si="22"/>
        <v>23079.969999999972</v>
      </c>
    </row>
    <row r="43" spans="1:19" ht="30" x14ac:dyDescent="0.25">
      <c r="A43" s="273" t="s">
        <v>184</v>
      </c>
      <c r="B43" s="229">
        <v>330000</v>
      </c>
      <c r="C43" s="234">
        <f t="shared" si="20"/>
        <v>27500</v>
      </c>
      <c r="D43" s="274">
        <v>248880</v>
      </c>
      <c r="E43" s="274" t="s">
        <v>61</v>
      </c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38">
        <f t="shared" si="21"/>
        <v>248880</v>
      </c>
      <c r="Q43" s="328" t="s">
        <v>187</v>
      </c>
      <c r="R43" s="301">
        <f t="shared" si="22"/>
        <v>81120</v>
      </c>
    </row>
    <row r="44" spans="1:19" ht="30" x14ac:dyDescent="0.25">
      <c r="A44" s="273" t="s">
        <v>185</v>
      </c>
      <c r="B44" s="229">
        <v>690000</v>
      </c>
      <c r="C44" s="234">
        <f t="shared" si="20"/>
        <v>57500</v>
      </c>
      <c r="D44" s="274" t="s">
        <v>61</v>
      </c>
      <c r="E44" s="274"/>
      <c r="F44" s="274"/>
      <c r="G44" s="274"/>
      <c r="H44" s="274"/>
      <c r="I44" s="274">
        <f>261650+156990</f>
        <v>418640</v>
      </c>
      <c r="J44" s="274"/>
      <c r="K44" s="274"/>
      <c r="L44" s="274"/>
      <c r="M44" s="274"/>
      <c r="N44" s="274"/>
      <c r="O44" s="274"/>
      <c r="P44" s="238">
        <f t="shared" si="21"/>
        <v>418640</v>
      </c>
      <c r="Q44" s="328" t="s">
        <v>187</v>
      </c>
      <c r="R44" s="301">
        <f t="shared" si="22"/>
        <v>271360</v>
      </c>
    </row>
    <row r="45" spans="1:19" ht="30.75" thickBot="1" x14ac:dyDescent="0.3">
      <c r="A45" s="305" t="s">
        <v>186</v>
      </c>
      <c r="B45" s="280">
        <v>190000</v>
      </c>
      <c r="C45" s="281">
        <f t="shared" si="20"/>
        <v>15833.333333333334</v>
      </c>
      <c r="D45" s="282">
        <v>80592</v>
      </c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3">
        <f t="shared" si="21"/>
        <v>80592</v>
      </c>
      <c r="Q45" s="330" t="s">
        <v>187</v>
      </c>
      <c r="R45" s="307">
        <f t="shared" si="22"/>
        <v>109408</v>
      </c>
    </row>
    <row r="46" spans="1:19" ht="31.5" x14ac:dyDescent="0.25">
      <c r="A46" s="304" t="s">
        <v>65</v>
      </c>
      <c r="B46" s="299">
        <f t="shared" ref="B46:H46" si="23">SUM(B37:B45)</f>
        <v>11430000</v>
      </c>
      <c r="C46" s="299">
        <f t="shared" si="23"/>
        <v>952500</v>
      </c>
      <c r="D46" s="299">
        <f t="shared" si="23"/>
        <v>997592</v>
      </c>
      <c r="E46" s="299">
        <f t="shared" si="23"/>
        <v>956930</v>
      </c>
      <c r="F46" s="299">
        <f t="shared" si="23"/>
        <v>1696660.92</v>
      </c>
      <c r="G46" s="299">
        <f t="shared" si="23"/>
        <v>4082</v>
      </c>
      <c r="H46" s="299">
        <f t="shared" si="23"/>
        <v>590971.74</v>
      </c>
      <c r="I46" s="299">
        <f>SUM(I37:I45)</f>
        <v>2498641</v>
      </c>
      <c r="J46" s="299">
        <f>SUM(J37:J45)</f>
        <v>1254866.4300000002</v>
      </c>
      <c r="K46" s="299">
        <f>SUM(K37:K45)</f>
        <v>1033597</v>
      </c>
      <c r="L46" s="299"/>
      <c r="M46" s="299"/>
      <c r="N46" s="299"/>
      <c r="O46" s="299">
        <f>SUM(O37:O45)</f>
        <v>0</v>
      </c>
      <c r="P46" s="299">
        <f>SUM(P37:P45)</f>
        <v>9033341.0899999999</v>
      </c>
      <c r="Q46" s="299" t="s">
        <v>187</v>
      </c>
      <c r="R46" s="299">
        <f>SUM(R37:R45)</f>
        <v>2396658.91</v>
      </c>
      <c r="S46" s="279"/>
    </row>
    <row r="47" spans="1:19" ht="15.75" x14ac:dyDescent="0.25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279"/>
    </row>
    <row r="48" spans="1:19" ht="15.75" x14ac:dyDescent="0.25">
      <c r="A48" s="302" t="s">
        <v>48</v>
      </c>
      <c r="B48" s="229">
        <f t="shared" ref="B48:P48" si="24">B35+B46</f>
        <v>49903050</v>
      </c>
      <c r="C48" s="234">
        <f t="shared" si="24"/>
        <v>4158587.5000000009</v>
      </c>
      <c r="D48" s="229">
        <f t="shared" si="24"/>
        <v>3678212.04</v>
      </c>
      <c r="E48" s="229">
        <f t="shared" si="24"/>
        <v>4336667.7799999993</v>
      </c>
      <c r="F48" s="229">
        <f t="shared" si="24"/>
        <v>3854396.84</v>
      </c>
      <c r="G48" s="229">
        <f t="shared" si="24"/>
        <v>2535653.61</v>
      </c>
      <c r="H48" s="229">
        <f t="shared" si="24"/>
        <v>3135717.1500000004</v>
      </c>
      <c r="I48" s="229">
        <f>I35+I46</f>
        <v>6878353.2899999991</v>
      </c>
      <c r="J48" s="229">
        <f t="shared" si="24"/>
        <v>4729092.5600000005</v>
      </c>
      <c r="K48" s="229">
        <f t="shared" si="24"/>
        <v>4082162.34</v>
      </c>
      <c r="L48" s="229">
        <f t="shared" si="24"/>
        <v>0</v>
      </c>
      <c r="M48" s="229">
        <f t="shared" si="24"/>
        <v>0</v>
      </c>
      <c r="N48" s="229">
        <f t="shared" si="24"/>
        <v>0</v>
      </c>
      <c r="O48" s="229">
        <f t="shared" si="24"/>
        <v>0</v>
      </c>
      <c r="P48" s="229">
        <f t="shared" si="24"/>
        <v>33230255.609999999</v>
      </c>
      <c r="Q48" s="229" t="s">
        <v>187</v>
      </c>
      <c r="R48" s="275">
        <f>R35+R46</f>
        <v>5472994.3900000006</v>
      </c>
    </row>
    <row r="49" spans="1:19" ht="15.75" x14ac:dyDescent="0.2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92"/>
      <c r="R49" s="219"/>
    </row>
    <row r="50" spans="1:19" s="298" customFormat="1" ht="24.75" customHeight="1" x14ac:dyDescent="0.25">
      <c r="A50" s="293" t="s">
        <v>146</v>
      </c>
      <c r="B50" s="294"/>
      <c r="C50" s="294"/>
      <c r="D50" s="295">
        <v>2480099.36</v>
      </c>
      <c r="E50" s="295">
        <v>1904347.08</v>
      </c>
      <c r="F50" s="295">
        <v>2613404.11</v>
      </c>
      <c r="G50" s="295">
        <v>4089416.59</v>
      </c>
      <c r="H50" s="295">
        <v>5266639.62</v>
      </c>
      <c r="I50" s="295">
        <v>2626369.0499999998</v>
      </c>
      <c r="J50" s="295">
        <v>1746184.13</v>
      </c>
      <c r="K50" s="295">
        <v>1859543.39</v>
      </c>
      <c r="L50" s="295"/>
      <c r="M50" s="295"/>
      <c r="N50" s="295"/>
      <c r="O50" s="295"/>
      <c r="P50" s="296"/>
      <c r="Q50" s="297"/>
    </row>
    <row r="51" spans="1:19" ht="15.75" x14ac:dyDescent="0.25">
      <c r="A51" s="287"/>
      <c r="B51" s="284"/>
      <c r="C51" s="284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6"/>
      <c r="Q51" s="285"/>
      <c r="R51" s="221"/>
    </row>
    <row r="52" spans="1:19" s="217" customFormat="1" ht="15.75" hidden="1" x14ac:dyDescent="0.25">
      <c r="A52" s="214"/>
      <c r="B52" s="405" t="s">
        <v>141</v>
      </c>
      <c r="C52" s="288" t="s">
        <v>139</v>
      </c>
      <c r="D52" s="289">
        <v>22800</v>
      </c>
      <c r="E52" s="289">
        <v>41300</v>
      </c>
      <c r="F52" s="289">
        <v>21000</v>
      </c>
      <c r="G52" s="289">
        <v>25000</v>
      </c>
      <c r="H52" s="289">
        <v>24700</v>
      </c>
      <c r="I52" s="289">
        <v>10500</v>
      </c>
      <c r="J52" s="289">
        <v>63200</v>
      </c>
      <c r="K52" s="289">
        <v>50000</v>
      </c>
      <c r="L52" s="289"/>
      <c r="M52" s="289"/>
      <c r="N52" s="289"/>
      <c r="O52" s="289"/>
      <c r="P52" s="215"/>
      <c r="Q52" s="215"/>
      <c r="R52" s="215"/>
    </row>
    <row r="53" spans="1:19" s="217" customFormat="1" ht="15.75" hidden="1" x14ac:dyDescent="0.25">
      <c r="A53" s="214"/>
      <c r="B53" s="405"/>
      <c r="C53" s="288" t="s">
        <v>140</v>
      </c>
      <c r="D53" s="289">
        <v>41300</v>
      </c>
      <c r="E53" s="289">
        <v>21000</v>
      </c>
      <c r="F53" s="289">
        <v>25000</v>
      </c>
      <c r="G53" s="289">
        <v>24700</v>
      </c>
      <c r="H53" s="289">
        <v>10500</v>
      </c>
      <c r="I53" s="289">
        <v>63200</v>
      </c>
      <c r="J53" s="289">
        <v>50000</v>
      </c>
      <c r="K53" s="289">
        <v>171200</v>
      </c>
      <c r="L53" s="289"/>
      <c r="M53" s="289"/>
      <c r="N53" s="289"/>
      <c r="O53" s="289"/>
      <c r="P53" s="215"/>
      <c r="Q53" s="215"/>
      <c r="R53" s="215"/>
    </row>
    <row r="54" spans="1:19" s="208" customFormat="1" ht="15.75" hidden="1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hidden="1" x14ac:dyDescent="0.25">
      <c r="A55" s="209"/>
      <c r="B55" s="406" t="s">
        <v>142</v>
      </c>
      <c r="C55" s="290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>
        <f>J56</f>
        <v>2251.6</v>
      </c>
      <c r="L55" s="210"/>
      <c r="M55" s="210"/>
      <c r="N55" s="210"/>
      <c r="O55" s="210"/>
      <c r="P55" s="212"/>
      <c r="Q55" s="212"/>
      <c r="R55" s="212"/>
      <c r="S55" s="208"/>
    </row>
    <row r="56" spans="1:19" s="213" customFormat="1" ht="15.75" hidden="1" x14ac:dyDescent="0.25">
      <c r="A56" s="209"/>
      <c r="B56" s="406"/>
      <c r="C56" s="290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2251.6</v>
      </c>
      <c r="K56" s="210">
        <v>431.92</v>
      </c>
      <c r="L56" s="210"/>
      <c r="M56" s="210"/>
      <c r="N56" s="210"/>
      <c r="O56" s="210"/>
      <c r="P56" s="212"/>
      <c r="Q56" s="212"/>
      <c r="R56" s="212"/>
      <c r="S56" s="208"/>
    </row>
    <row r="57" spans="1:19" s="213" customFormat="1" ht="15.75" hidden="1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hidden="1" x14ac:dyDescent="0.25">
      <c r="A58" s="209"/>
      <c r="B58" s="404" t="s">
        <v>150</v>
      </c>
      <c r="C58" s="311" t="s">
        <v>151</v>
      </c>
      <c r="D58" s="211">
        <v>3602790.71</v>
      </c>
      <c r="E58" s="211">
        <v>3760915.7</v>
      </c>
      <c r="F58" s="211">
        <v>4592479.87</v>
      </c>
      <c r="G58" s="211">
        <v>3971666.04</v>
      </c>
      <c r="H58" s="211">
        <v>4587808.18</v>
      </c>
      <c r="I58" s="211">
        <v>4239524.72</v>
      </c>
      <c r="J58" s="211">
        <v>4031284.04</v>
      </c>
      <c r="K58" s="211">
        <v>5497341.2800000003</v>
      </c>
      <c r="L58" s="211"/>
      <c r="M58" s="211"/>
      <c r="N58" s="211"/>
      <c r="O58" s="211"/>
      <c r="P58" s="212"/>
      <c r="Q58" s="212"/>
      <c r="R58" s="212"/>
      <c r="S58" s="208"/>
    </row>
    <row r="59" spans="1:19" s="213" customFormat="1" ht="15.75" hidden="1" x14ac:dyDescent="0.25">
      <c r="A59" s="209"/>
      <c r="B59" s="404"/>
      <c r="C59" s="311" t="s">
        <v>152</v>
      </c>
      <c r="D59" s="211">
        <v>3690905.99</v>
      </c>
      <c r="E59" s="211">
        <v>4336667.9800000004</v>
      </c>
      <c r="F59" s="211">
        <v>3883422.84</v>
      </c>
      <c r="G59" s="211">
        <v>2535653.61</v>
      </c>
      <c r="H59" s="211">
        <v>3370585.15</v>
      </c>
      <c r="I59" s="211">
        <v>6879795.29</v>
      </c>
      <c r="J59" s="211">
        <v>4911468.96</v>
      </c>
      <c r="K59" s="211">
        <v>5383982.0199999996</v>
      </c>
      <c r="L59" s="211"/>
      <c r="M59" s="211"/>
      <c r="N59" s="211"/>
      <c r="O59" s="211"/>
      <c r="P59" s="212"/>
      <c r="Q59" s="212"/>
      <c r="R59" s="212"/>
      <c r="S59" s="208"/>
    </row>
    <row r="60" spans="1:19" s="217" customFormat="1" ht="15.75" hidden="1" x14ac:dyDescent="0.25">
      <c r="A60" s="214"/>
      <c r="B60" s="215"/>
      <c r="C60" s="312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5"/>
      <c r="Q60" s="215"/>
      <c r="R60" s="215"/>
    </row>
    <row r="61" spans="1:19" s="363" customFormat="1" ht="15.75" hidden="1" x14ac:dyDescent="0.25">
      <c r="A61" s="211"/>
      <c r="B61" s="211"/>
      <c r="C61" s="211"/>
      <c r="D61" s="211">
        <f>D59-D48+D56-D55-D12</f>
        <v>-4.9999999813735485E-2</v>
      </c>
      <c r="E61" s="211">
        <f>E59-E48+E56-E55-E12</f>
        <v>0.20000000111758709</v>
      </c>
      <c r="F61" s="211">
        <f>F59-F48+F56-F55-F12-'спец авто транспорт'!D14</f>
        <v>0</v>
      </c>
      <c r="G61" s="211">
        <f>G59-G48+G56-G55-G12</f>
        <v>0</v>
      </c>
      <c r="H61" s="365">
        <f>H59-H48+H56-H55-H12+канализация!F28</f>
        <v>-4.6566128730773926E-10</v>
      </c>
      <c r="I61" s="365">
        <f>I59-I48+I56-I55-I12</f>
        <v>9.3132257461547852E-10</v>
      </c>
      <c r="J61" s="365">
        <f>J59-J48+J56-J55-J12-183300</f>
        <v>-5.5297277867794037E-10</v>
      </c>
      <c r="K61" s="365">
        <f>K59-K48+K56-K55-K12-1300000</f>
        <v>0</v>
      </c>
      <c r="L61" s="211"/>
      <c r="M61" s="211"/>
      <c r="N61" s="211"/>
      <c r="O61" s="310"/>
      <c r="P61" s="310"/>
      <c r="Q61" s="211"/>
      <c r="R61" s="211"/>
      <c r="S61" s="211"/>
    </row>
    <row r="62" spans="1:19" s="207" customFormat="1" x14ac:dyDescent="0.25">
      <c r="A62" s="291"/>
      <c r="B62" s="225"/>
      <c r="C62" s="225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1"/>
      <c r="B63" s="225"/>
      <c r="C63" s="225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1"/>
      <c r="B64" s="225"/>
      <c r="C64" s="225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1"/>
      <c r="B65" s="225"/>
      <c r="C65" s="225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1"/>
      <c r="B66" s="225"/>
      <c r="C66" s="225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0" type="noConversion"/>
  <pageMargins left="0.25" right="0.25" top="0.75" bottom="0.75" header="0.3" footer="0.3"/>
  <pageSetup paperSize="9" scale="49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07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08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0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5"/>
  <sheetViews>
    <sheetView topLeftCell="A34" zoomScale="115" workbookViewId="0">
      <selection activeCell="I58" sqref="I58:I61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6">
        <v>11000</v>
      </c>
      <c r="C3" s="336">
        <v>11000</v>
      </c>
      <c r="D3" s="337">
        <v>11000</v>
      </c>
      <c r="E3" s="336">
        <v>11000</v>
      </c>
      <c r="F3" s="336">
        <v>11000</v>
      </c>
      <c r="G3" s="336">
        <f>11000+11000</f>
        <v>22000</v>
      </c>
      <c r="H3" s="336">
        <v>11000</v>
      </c>
      <c r="I3" s="336">
        <v>11000</v>
      </c>
      <c r="J3" s="336"/>
      <c r="K3" s="336"/>
      <c r="L3" s="336"/>
      <c r="M3" s="336"/>
      <c r="N3" s="145">
        <f t="shared" ref="N3:N19" si="0">SUM(B3:M3)</f>
        <v>99000</v>
      </c>
    </row>
    <row r="4" spans="1:14" x14ac:dyDescent="0.25">
      <c r="A4" s="146" t="s">
        <v>93</v>
      </c>
      <c r="B4" s="336">
        <v>6000</v>
      </c>
      <c r="C4" s="338">
        <f>6000+6000</f>
        <v>12000</v>
      </c>
      <c r="D4" s="339"/>
      <c r="E4" s="338">
        <v>6000</v>
      </c>
      <c r="F4" s="338">
        <v>6000</v>
      </c>
      <c r="G4" s="338">
        <v>6000</v>
      </c>
      <c r="H4" s="338">
        <v>6000</v>
      </c>
      <c r="I4" s="338">
        <v>6000</v>
      </c>
      <c r="J4" s="338"/>
      <c r="K4" s="338"/>
      <c r="L4" s="338"/>
      <c r="M4" s="338"/>
      <c r="N4" s="145">
        <f t="shared" si="0"/>
        <v>48000</v>
      </c>
    </row>
    <row r="5" spans="1:14" x14ac:dyDescent="0.25">
      <c r="A5" s="146" t="s">
        <v>94</v>
      </c>
      <c r="B5" s="336">
        <v>6409.55</v>
      </c>
      <c r="C5" s="336">
        <v>9568.99</v>
      </c>
      <c r="D5" s="336">
        <v>2203.1799999999998</v>
      </c>
      <c r="E5" s="336">
        <v>9206.43</v>
      </c>
      <c r="F5" s="336">
        <v>7624.79</v>
      </c>
      <c r="G5" s="336">
        <v>10051.68</v>
      </c>
      <c r="H5" s="336">
        <f>8551.65+1299.16</f>
        <v>9850.81</v>
      </c>
      <c r="I5" s="336">
        <v>10270.91</v>
      </c>
      <c r="J5" s="336"/>
      <c r="K5" s="336"/>
      <c r="L5" s="336"/>
      <c r="M5" s="336"/>
      <c r="N5" s="145">
        <f t="shared" si="0"/>
        <v>65186.34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/>
      <c r="K6" s="179"/>
      <c r="L6" s="179"/>
      <c r="M6" s="179"/>
      <c r="N6" s="145">
        <f t="shared" si="0"/>
        <v>29325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/>
      <c r="L7" s="181"/>
      <c r="M7" s="181"/>
      <c r="N7" s="145">
        <f t="shared" si="0"/>
        <v>2400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>
        <v>4015.72</v>
      </c>
      <c r="J8" s="179"/>
      <c r="K8" s="179"/>
      <c r="L8" s="179"/>
      <c r="M8" s="179"/>
      <c r="N8" s="145">
        <f t="shared" si="0"/>
        <v>10634.72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>
        <v>612</v>
      </c>
      <c r="J9" s="181"/>
      <c r="K9" s="181"/>
      <c r="L9" s="181"/>
      <c r="M9" s="181"/>
      <c r="N9" s="145">
        <f t="shared" si="0"/>
        <v>9851.98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>
        <f>303.04+303.04+32</f>
        <v>638.08000000000004</v>
      </c>
      <c r="J10" s="181"/>
      <c r="K10" s="181"/>
      <c r="L10" s="181"/>
      <c r="M10" s="181"/>
      <c r="N10" s="145">
        <f t="shared" si="0"/>
        <v>5196.7000000000007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/>
      <c r="L11" s="181"/>
      <c r="M11" s="181"/>
      <c r="N11" s="145">
        <f>SUM(B11:M11)</f>
        <v>44100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>
        <v>2100</v>
      </c>
      <c r="J12" s="181"/>
      <c r="K12" s="181"/>
      <c r="L12" s="181"/>
      <c r="M12" s="181"/>
      <c r="N12" s="145">
        <f t="shared" si="0"/>
        <v>11934</v>
      </c>
    </row>
    <row r="13" spans="1:14" x14ac:dyDescent="0.25">
      <c r="A13" s="150" t="s">
        <v>155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160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165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170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171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172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173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191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197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209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210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217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236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239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/>
      <c r="K26" s="181"/>
      <c r="L26" s="181"/>
      <c r="M26" s="181"/>
      <c r="N26" s="145">
        <f t="shared" si="1"/>
        <v>38302.910000000003</v>
      </c>
    </row>
    <row r="27" spans="1:14" x14ac:dyDescent="0.25">
      <c r="A27" s="150" t="s">
        <v>240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/>
      <c r="L27" s="181"/>
      <c r="M27" s="181"/>
      <c r="N27" s="145">
        <f t="shared" si="1"/>
        <v>31284</v>
      </c>
    </row>
    <row r="28" spans="1:14" x14ac:dyDescent="0.25">
      <c r="A28" s="150" t="s">
        <v>242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244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245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248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249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250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252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267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272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4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4" t="s">
        <v>279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4" t="s">
        <v>196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4" t="s">
        <v>288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4" t="s">
        <v>289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4" t="s">
        <v>290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273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69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69" t="s">
        <v>323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69" t="s">
        <v>324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69" t="s">
        <v>334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69" t="s">
        <v>286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69" t="s">
        <v>348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69" t="s">
        <v>349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69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69" t="s">
        <v>350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69" t="s">
        <v>351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72" t="s">
        <v>352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69" t="s">
        <v>353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69" t="s">
        <v>354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69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ht="26.25" x14ac:dyDescent="0.25">
      <c r="A58" s="369" t="s">
        <v>363</v>
      </c>
      <c r="B58" s="179"/>
      <c r="C58" s="179"/>
      <c r="D58" s="179"/>
      <c r="E58" s="179"/>
      <c r="F58" s="179"/>
      <c r="G58" s="179"/>
      <c r="H58" s="179"/>
      <c r="I58" s="179">
        <v>7472</v>
      </c>
      <c r="J58" s="179"/>
      <c r="K58" s="179"/>
      <c r="L58" s="179"/>
      <c r="M58" s="179"/>
      <c r="N58" s="181">
        <f t="shared" ref="N58:N103" si="3">SUM(B58:M58)</f>
        <v>7472</v>
      </c>
    </row>
    <row r="59" spans="1:14" x14ac:dyDescent="0.25">
      <c r="A59" s="369" t="s">
        <v>369</v>
      </c>
      <c r="B59" s="179"/>
      <c r="C59" s="179"/>
      <c r="D59" s="179"/>
      <c r="E59" s="179"/>
      <c r="F59" s="179"/>
      <c r="G59" s="179"/>
      <c r="H59" s="179"/>
      <c r="I59" s="179">
        <v>1430</v>
      </c>
      <c r="J59" s="179"/>
      <c r="K59" s="179"/>
      <c r="L59" s="179"/>
      <c r="M59" s="179"/>
      <c r="N59" s="181">
        <f t="shared" si="3"/>
        <v>1430</v>
      </c>
    </row>
    <row r="60" spans="1:14" x14ac:dyDescent="0.25">
      <c r="A60" s="317" t="s">
        <v>370</v>
      </c>
      <c r="B60" s="179"/>
      <c r="C60" s="182"/>
      <c r="D60" s="182"/>
      <c r="E60" s="182"/>
      <c r="F60" s="182"/>
      <c r="G60" s="182"/>
      <c r="H60" s="182"/>
      <c r="I60" s="182">
        <v>1300</v>
      </c>
      <c r="J60" s="182"/>
      <c r="K60" s="182"/>
      <c r="L60" s="182"/>
      <c r="M60" s="182"/>
      <c r="N60" s="181">
        <f t="shared" si="3"/>
        <v>1300</v>
      </c>
    </row>
    <row r="61" spans="1:14" x14ac:dyDescent="0.25">
      <c r="A61" s="369" t="s">
        <v>371</v>
      </c>
      <c r="B61" s="179"/>
      <c r="C61" s="182"/>
      <c r="D61" s="182"/>
      <c r="E61" s="182"/>
      <c r="F61" s="182"/>
      <c r="G61" s="182"/>
      <c r="H61" s="182"/>
      <c r="I61" s="182">
        <v>550</v>
      </c>
      <c r="J61" s="182"/>
      <c r="K61" s="182"/>
      <c r="L61" s="182"/>
      <c r="M61" s="182"/>
      <c r="N61" s="181">
        <f t="shared" si="3"/>
        <v>550</v>
      </c>
    </row>
    <row r="62" spans="1:14" x14ac:dyDescent="0.25">
      <c r="A62" s="317"/>
      <c r="B62" s="179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>
        <f t="shared" si="3"/>
        <v>0</v>
      </c>
    </row>
    <row r="63" spans="1:14" x14ac:dyDescent="0.25">
      <c r="A63" s="369"/>
      <c r="B63" s="179"/>
      <c r="C63" s="179"/>
      <c r="D63" s="191"/>
      <c r="E63" s="179"/>
      <c r="F63" s="179"/>
      <c r="G63" s="179"/>
      <c r="H63" s="179"/>
      <c r="I63" s="179"/>
      <c r="J63" s="179"/>
      <c r="K63" s="179"/>
      <c r="L63" s="179"/>
      <c r="M63" s="179"/>
      <c r="N63" s="181">
        <f t="shared" si="3"/>
        <v>0</v>
      </c>
    </row>
    <row r="64" spans="1:14" x14ac:dyDescent="0.25">
      <c r="A64" s="317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81">
        <f t="shared" si="3"/>
        <v>0</v>
      </c>
    </row>
    <row r="65" spans="1:14" x14ac:dyDescent="0.25">
      <c r="A65" s="36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81">
        <f t="shared" si="3"/>
        <v>0</v>
      </c>
    </row>
    <row r="66" spans="1:14" x14ac:dyDescent="0.25">
      <c r="A66" s="317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81">
        <f t="shared" si="3"/>
        <v>0</v>
      </c>
    </row>
    <row r="67" spans="1:14" x14ac:dyDescent="0.25">
      <c r="A67" s="36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81">
        <f t="shared" si="3"/>
        <v>0</v>
      </c>
    </row>
    <row r="68" spans="1:14" x14ac:dyDescent="0.25">
      <c r="A68" s="317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81">
        <f t="shared" si="3"/>
        <v>0</v>
      </c>
    </row>
    <row r="69" spans="1:14" x14ac:dyDescent="0.25">
      <c r="A69" s="36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81">
        <f t="shared" si="3"/>
        <v>0</v>
      </c>
    </row>
    <row r="70" spans="1:14" x14ac:dyDescent="0.25">
      <c r="A70" s="317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81">
        <f t="shared" si="3"/>
        <v>0</v>
      </c>
    </row>
    <row r="71" spans="1:14" x14ac:dyDescent="0.25">
      <c r="A71" s="36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81">
        <f t="shared" si="3"/>
        <v>0</v>
      </c>
    </row>
    <row r="72" spans="1:14" x14ac:dyDescent="0.25">
      <c r="A72" s="317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81">
        <f t="shared" si="3"/>
        <v>0</v>
      </c>
    </row>
    <row r="73" spans="1:14" x14ac:dyDescent="0.25">
      <c r="A73" s="36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81">
        <f t="shared" si="3"/>
        <v>0</v>
      </c>
    </row>
    <row r="74" spans="1:14" x14ac:dyDescent="0.25">
      <c r="A74" s="317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81">
        <f t="shared" si="3"/>
        <v>0</v>
      </c>
    </row>
    <row r="75" spans="1:14" x14ac:dyDescent="0.25">
      <c r="A75" s="36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>
        <f t="shared" si="3"/>
        <v>0</v>
      </c>
    </row>
    <row r="76" spans="1:14" x14ac:dyDescent="0.25">
      <c r="A76" s="317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>
        <f t="shared" si="3"/>
        <v>0</v>
      </c>
    </row>
    <row r="77" spans="1:14" x14ac:dyDescent="0.25">
      <c r="A77" s="36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1">
        <f t="shared" si="3"/>
        <v>0</v>
      </c>
    </row>
    <row r="78" spans="1:14" x14ac:dyDescent="0.25">
      <c r="A78" s="317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81">
        <f t="shared" si="3"/>
        <v>0</v>
      </c>
    </row>
    <row r="79" spans="1:14" x14ac:dyDescent="0.25">
      <c r="A79" s="36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81">
        <f t="shared" si="3"/>
        <v>0</v>
      </c>
    </row>
    <row r="80" spans="1:14" x14ac:dyDescent="0.25">
      <c r="A80" s="317"/>
      <c r="B80" s="179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x14ac:dyDescent="0.25">
      <c r="A81" s="369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x14ac:dyDescent="0.25">
      <c r="A82" s="317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x14ac:dyDescent="0.25">
      <c r="A83" s="369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x14ac:dyDescent="0.25">
      <c r="A84" s="317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48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>
        <f t="shared" si="3"/>
        <v>0</v>
      </c>
    </row>
    <row r="101" spans="1:14" x14ac:dyDescent="0.25">
      <c r="A101" s="148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>
        <f t="shared" si="3"/>
        <v>0</v>
      </c>
    </row>
    <row r="102" spans="1:14" x14ac:dyDescent="0.25">
      <c r="A102" s="148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>
        <f t="shared" si="3"/>
        <v>0</v>
      </c>
    </row>
    <row r="103" spans="1:14" x14ac:dyDescent="0.25">
      <c r="A103" s="151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1">
        <f t="shared" si="3"/>
        <v>0</v>
      </c>
    </row>
    <row r="104" spans="1:14" x14ac:dyDescent="0.25">
      <c r="A104" s="133" t="s">
        <v>91</v>
      </c>
      <c r="B104" s="186">
        <f t="shared" ref="B104:N104" si="4">SUM(B1:B103)</f>
        <v>69467.81</v>
      </c>
      <c r="C104" s="186">
        <f t="shared" si="4"/>
        <v>49239.99</v>
      </c>
      <c r="D104" s="186">
        <f t="shared" si="4"/>
        <v>42463.18</v>
      </c>
      <c r="E104" s="186">
        <f t="shared" si="4"/>
        <v>96313.07</v>
      </c>
      <c r="F104" s="186">
        <f t="shared" si="4"/>
        <v>69116.63</v>
      </c>
      <c r="G104" s="186">
        <f t="shared" si="4"/>
        <v>89916.73</v>
      </c>
      <c r="H104" s="186">
        <f t="shared" si="4"/>
        <v>105228.67</v>
      </c>
      <c r="I104" s="186">
        <f t="shared" si="4"/>
        <v>45388.710000000006</v>
      </c>
      <c r="J104" s="186">
        <f t="shared" si="4"/>
        <v>0</v>
      </c>
      <c r="K104" s="186">
        <f t="shared" si="4"/>
        <v>0</v>
      </c>
      <c r="L104" s="186">
        <f t="shared" si="4"/>
        <v>0</v>
      </c>
      <c r="M104" s="186">
        <f t="shared" si="4"/>
        <v>0</v>
      </c>
      <c r="N104" s="154">
        <f t="shared" si="4"/>
        <v>567134.79</v>
      </c>
    </row>
    <row r="105" spans="1:14" x14ac:dyDescent="0.25">
      <c r="N105" s="95">
        <f>SUM(B104:M104)-N104</f>
        <v>0</v>
      </c>
    </row>
  </sheetData>
  <autoFilter ref="A1:A105"/>
  <phoneticPr fontId="20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N3" sqref="N3:N6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8.42578125" style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>
        <v>9203.4500000000007</v>
      </c>
      <c r="J3" s="179"/>
      <c r="K3" s="179"/>
      <c r="L3" s="179"/>
      <c r="M3" s="179"/>
      <c r="N3" s="181">
        <f>SUM(B3:M3)</f>
        <v>9203.4500000000007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/>
      <c r="L4" s="179"/>
      <c r="M4" s="179"/>
      <c r="N4" s="181">
        <f t="shared" ref="N4:N7" si="0">SUM(B4:M4)</f>
        <v>8790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/>
      <c r="M5" s="179"/>
      <c r="N5" s="181">
        <f t="shared" si="0"/>
        <v>6750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 t="shared" si="0"/>
        <v>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9203.4500000000007</v>
      </c>
      <c r="J10" s="159">
        <f t="shared" si="2"/>
        <v>0</v>
      </c>
      <c r="K10" s="159">
        <f t="shared" si="2"/>
        <v>0</v>
      </c>
      <c r="L10" s="159">
        <f t="shared" si="2"/>
        <v>0</v>
      </c>
      <c r="M10" s="159">
        <f t="shared" si="2"/>
        <v>0</v>
      </c>
      <c r="N10" s="159">
        <f>SUM(N3:N8)</f>
        <v>28333.45</v>
      </c>
    </row>
    <row r="12" spans="1:14" x14ac:dyDescent="0.25">
      <c r="N12" s="160">
        <f>SUM(B10:M10)-N10</f>
        <v>0</v>
      </c>
    </row>
  </sheetData>
  <phoneticPr fontId="20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B39" sqref="B39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9" width="8.28515625" style="1" bestFit="1" customWidth="1"/>
    <col min="10" max="11" width="5" style="1" customWidth="1"/>
    <col min="12" max="12" width="7" style="1" bestFit="1" customWidth="1"/>
    <col min="13" max="13" width="4.28515625" style="1" bestFit="1" customWidth="1"/>
    <col min="14" max="14" width="11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>
        <v>1200</v>
      </c>
      <c r="J4" s="179"/>
      <c r="K4" s="179"/>
      <c r="L4" s="179"/>
      <c r="M4" s="179"/>
      <c r="N4" s="179">
        <f>SUM(B4:M4)</f>
        <v>10800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>
        <v>6000</v>
      </c>
      <c r="J5" s="179"/>
      <c r="K5" s="179"/>
      <c r="L5" s="179"/>
      <c r="M5" s="179"/>
      <c r="N5" s="179">
        <f>SUM(B5:M5)</f>
        <v>55000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>
        <v>1000</v>
      </c>
      <c r="J6" s="179"/>
      <c r="K6" s="179"/>
      <c r="L6" s="179"/>
      <c r="M6" s="179"/>
      <c r="N6" s="179">
        <f>SUM(B6:M6)</f>
        <v>10000</v>
      </c>
    </row>
    <row r="7" spans="1:14" x14ac:dyDescent="0.25">
      <c r="A7" s="152" t="s">
        <v>266</v>
      </c>
      <c r="B7" s="179"/>
      <c r="C7" s="179"/>
      <c r="D7" s="179"/>
      <c r="E7" s="179"/>
      <c r="F7" s="179">
        <v>3500</v>
      </c>
      <c r="G7" s="179"/>
      <c r="H7" s="179"/>
      <c r="I7" s="179"/>
      <c r="J7" s="179"/>
      <c r="K7" s="179"/>
      <c r="L7" s="179"/>
      <c r="M7" s="179"/>
      <c r="N7" s="179">
        <f>SUM(B7:M7)</f>
        <v>3500</v>
      </c>
    </row>
    <row r="8" spans="1:14" x14ac:dyDescent="0.25">
      <c r="A8" s="162" t="s">
        <v>91</v>
      </c>
      <c r="B8" s="159">
        <f t="shared" ref="B8:M8" si="0">SUM(B3:B7)</f>
        <v>7200</v>
      </c>
      <c r="C8" s="159">
        <f t="shared" si="0"/>
        <v>13200</v>
      </c>
      <c r="D8" s="159">
        <f t="shared" si="0"/>
        <v>7200</v>
      </c>
      <c r="E8" s="159">
        <f t="shared" si="0"/>
        <v>7200</v>
      </c>
      <c r="F8" s="159">
        <f t="shared" si="0"/>
        <v>11700</v>
      </c>
      <c r="G8" s="159">
        <f t="shared" si="0"/>
        <v>16400</v>
      </c>
      <c r="H8" s="159">
        <f t="shared" si="0"/>
        <v>8200</v>
      </c>
      <c r="I8" s="159">
        <f t="shared" si="0"/>
        <v>8200</v>
      </c>
      <c r="J8" s="159">
        <f t="shared" si="0"/>
        <v>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314">
        <f>SUM(N3:N7)</f>
        <v>79300</v>
      </c>
    </row>
    <row r="10" spans="1:14" x14ac:dyDescent="0.25">
      <c r="N10" s="160">
        <f>SUM(B8:M8)-N8</f>
        <v>0</v>
      </c>
    </row>
  </sheetData>
  <phoneticPr fontId="20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I3" sqref="I3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11612.62+46980+45116+31060.51+40020+30095+35301+39073.18+10179+111967+125659.75+125539+52030+65351-2661</f>
        <v>767323.06</v>
      </c>
      <c r="I3" s="193">
        <f>37009+62585+17708+46980+38557+3062.73+40020+30095+166458.9+161263.5+4418.78+10005+58032+121590+98796.81+43003.12+1295.84</f>
        <v>940880.67999999993</v>
      </c>
      <c r="J3" s="193"/>
      <c r="K3" s="193"/>
      <c r="L3" s="193"/>
      <c r="M3" s="193"/>
      <c r="N3" s="197">
        <f>SUM(B3:M3)</f>
        <v>6266547.2799999993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>
        <v>80000</v>
      </c>
      <c r="J4" s="193"/>
      <c r="K4" s="193"/>
      <c r="L4" s="193"/>
      <c r="M4" s="193"/>
      <c r="N4" s="197">
        <f>SUM(B4:M4)</f>
        <v>710000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847323.06</v>
      </c>
      <c r="I6" s="196">
        <f t="shared" si="0"/>
        <v>1020880.6799999999</v>
      </c>
      <c r="J6" s="196">
        <f t="shared" si="0"/>
        <v>0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6976547.2799999993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0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I31" sqref="I31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0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H3" sqref="H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9" width="10.28515625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>
        <f>1674.31+251147.12</f>
        <v>252821.43</v>
      </c>
      <c r="J3" s="179"/>
      <c r="K3" s="179"/>
      <c r="L3" s="179"/>
      <c r="M3" s="179"/>
      <c r="N3" s="181">
        <f>SUM(B3:M3)</f>
        <v>1749550.73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252821.43</v>
      </c>
      <c r="J6" s="186">
        <f t="shared" si="0"/>
        <v>0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1749552.71</v>
      </c>
    </row>
    <row r="8" spans="1:14" x14ac:dyDescent="0.25">
      <c r="N8" s="160">
        <f>SUM(B6:M6)-N6</f>
        <v>0</v>
      </c>
    </row>
    <row r="9" spans="1:14" ht="15.75" hidden="1" x14ac:dyDescent="0.25">
      <c r="A9" s="411"/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</row>
    <row r="10" spans="1:14" ht="15.75" hidden="1" x14ac:dyDescent="0.25">
      <c r="A10" s="411"/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09"/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10"/>
    </row>
    <row r="14" spans="1:14" hidden="1" x14ac:dyDescent="0.25"/>
  </sheetData>
  <mergeCells count="3">
    <mergeCell ref="A13:L13"/>
    <mergeCell ref="A9:L9"/>
    <mergeCell ref="A10:L10"/>
  </mergeCells>
  <phoneticPr fontId="20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2024-07-10T07:01:34Z</dcterms:modified>
</cp:coreProperties>
</file>