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СОГЛАСИЕ\Марина\ФИНПЛАН\2023-2024 нов\"/>
    </mc:Choice>
  </mc:AlternateContent>
  <bookViews>
    <workbookView xWindow="-120" yWindow="-120" windowWidth="25440" windowHeight="15390" tabRatio="788" firstSheet="1" activeTab="1"/>
  </bookViews>
  <sheets>
    <sheet name="ВСЕ затраты за 6 мес." sheetId="1" state="hidden" r:id="rId1"/>
    <sheet name="ВСЕ затраты" sheetId="2" r:id="rId2"/>
    <sheet name="ВСЕ затраты в 2016-2017 гг (2)" sheetId="3" state="hidden" r:id="rId3"/>
    <sheet name="общехоз расходы" sheetId="4" r:id="rId4"/>
    <sheet name="прогр обесп" sheetId="5" r:id="rId5"/>
    <sheet name="связь" sheetId="6" r:id="rId6"/>
    <sheet name="з пл" sheetId="7" r:id="rId7"/>
    <sheet name="премии" sheetId="8" r:id="rId8"/>
    <sheet name="налог с ФОТ" sheetId="9" r:id="rId9"/>
    <sheet name="мусор" sheetId="12" r:id="rId10"/>
    <sheet name="вода" sheetId="14" r:id="rId11"/>
    <sheet name="канализация" sheetId="15" r:id="rId12"/>
    <sheet name="эл.снабж" sheetId="16" r:id="rId13"/>
    <sheet name="спец авто транспорт" sheetId="17" r:id="rId14"/>
    <sheet name="благ-во" sheetId="19" r:id="rId15"/>
    <sheet name="рез фонд" sheetId="20" r:id="rId16"/>
  </sheets>
  <definedNames>
    <definedName name="_xlnm._FilterDatabase" localSheetId="3" hidden="1">'общехоз расходы'!$A$1:$A$103</definedName>
    <definedName name="_xlnm.Print_Area" localSheetId="1">'ВСЕ затраты'!$A$1:$R$56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" i="4" l="1"/>
  <c r="M42" i="17"/>
  <c r="O55" i="2"/>
  <c r="N61" i="2"/>
  <c r="M4" i="17"/>
  <c r="M98" i="4"/>
  <c r="M29" i="14" l="1"/>
  <c r="N29" i="14"/>
  <c r="N32" i="14" s="1"/>
  <c r="M3" i="7"/>
  <c r="O24" i="2"/>
  <c r="O5" i="2"/>
  <c r="O4" i="2" s="1"/>
  <c r="P6" i="2"/>
  <c r="N5" i="2"/>
  <c r="O8" i="2"/>
  <c r="O10" i="2"/>
  <c r="M3" i="9" l="1"/>
  <c r="M3" i="8"/>
  <c r="M61" i="15"/>
  <c r="O37" i="2"/>
  <c r="L54" i="15" l="1"/>
  <c r="N11" i="2"/>
  <c r="N37" i="2"/>
  <c r="N46" i="2" l="1"/>
  <c r="N10" i="5"/>
  <c r="N7" i="5"/>
  <c r="N24" i="2"/>
  <c r="L10" i="5"/>
  <c r="L4" i="17"/>
  <c r="N70" i="16"/>
  <c r="N69" i="16"/>
  <c r="N68" i="16"/>
  <c r="N67" i="16"/>
  <c r="N66" i="16"/>
  <c r="L25" i="14"/>
  <c r="L26" i="14"/>
  <c r="L15" i="19"/>
  <c r="L9" i="4"/>
  <c r="L8" i="4"/>
  <c r="L102" i="4" s="1"/>
  <c r="N17" i="2" s="1"/>
  <c r="L10" i="4"/>
  <c r="L11" i="4"/>
  <c r="N38" i="17"/>
  <c r="N37" i="17"/>
  <c r="N36" i="17"/>
  <c r="N41" i="17"/>
  <c r="N40" i="17"/>
  <c r="N39" i="17"/>
  <c r="N42" i="17"/>
  <c r="N43" i="17"/>
  <c r="N44" i="17"/>
  <c r="N63" i="16"/>
  <c r="N64" i="16"/>
  <c r="N65" i="16"/>
  <c r="N71" i="16"/>
  <c r="N72" i="16"/>
  <c r="N73" i="16"/>
  <c r="N74" i="16"/>
  <c r="L55" i="15"/>
  <c r="N55" i="15"/>
  <c r="N56" i="15"/>
  <c r="N57" i="15"/>
  <c r="N58" i="15"/>
  <c r="N59" i="15"/>
  <c r="N60" i="15"/>
  <c r="N61" i="15"/>
  <c r="N62" i="15"/>
  <c r="N44" i="2"/>
  <c r="L3" i="7"/>
  <c r="L3" i="9"/>
  <c r="N7" i="6"/>
  <c r="N10" i="2"/>
  <c r="N8" i="2"/>
  <c r="N4" i="2"/>
  <c r="N7" i="2"/>
  <c r="N52" i="2"/>
  <c r="N55" i="2"/>
  <c r="M45" i="2" l="1"/>
  <c r="K10" i="4" l="1"/>
  <c r="K4" i="17"/>
  <c r="N59" i="16"/>
  <c r="N60" i="16"/>
  <c r="N61" i="16"/>
  <c r="N62" i="16"/>
  <c r="K77" i="4"/>
  <c r="L13" i="2"/>
  <c r="M13" i="2"/>
  <c r="P37" i="2"/>
  <c r="N56" i="16" l="1"/>
  <c r="N57" i="16"/>
  <c r="N58" i="16"/>
  <c r="N33" i="17"/>
  <c r="N34" i="17"/>
  <c r="N35" i="17"/>
  <c r="N54" i="19"/>
  <c r="N55" i="19"/>
  <c r="N56" i="19"/>
  <c r="N57" i="19"/>
  <c r="N58" i="19"/>
  <c r="N59" i="19"/>
  <c r="M46" i="2"/>
  <c r="M4" i="2"/>
  <c r="K3" i="7"/>
  <c r="K72" i="4"/>
  <c r="K3" i="9"/>
  <c r="K14" i="20"/>
  <c r="M37" i="2"/>
  <c r="K4" i="14"/>
  <c r="K32" i="17"/>
  <c r="K27" i="4"/>
  <c r="M24" i="2"/>
  <c r="M8" i="2"/>
  <c r="M5" i="2"/>
  <c r="N13" i="20" l="1"/>
  <c r="N14" i="20"/>
  <c r="N15" i="20"/>
  <c r="L37" i="2"/>
  <c r="K37" i="2"/>
  <c r="H12" i="20"/>
  <c r="J37" i="2"/>
  <c r="I58" i="4" l="1"/>
  <c r="I3" i="7"/>
  <c r="L55" i="2"/>
  <c r="J4" i="17"/>
  <c r="J3" i="17"/>
  <c r="N53" i="19"/>
  <c r="N60" i="19"/>
  <c r="J46" i="19"/>
  <c r="N47" i="19"/>
  <c r="N48" i="19"/>
  <c r="N49" i="19"/>
  <c r="N50" i="19"/>
  <c r="N51" i="19"/>
  <c r="N52" i="19"/>
  <c r="N61" i="19"/>
  <c r="J10" i="4"/>
  <c r="J67" i="4"/>
  <c r="J31" i="17"/>
  <c r="P10" i="2"/>
  <c r="P11" i="2"/>
  <c r="P12" i="2"/>
  <c r="L46" i="2"/>
  <c r="J3" i="7"/>
  <c r="J26" i="4"/>
  <c r="J3" i="9"/>
  <c r="J3" i="14"/>
  <c r="J63" i="4"/>
  <c r="N28" i="17"/>
  <c r="N29" i="17"/>
  <c r="N30" i="17"/>
  <c r="N31" i="17"/>
  <c r="N32" i="17"/>
  <c r="L24" i="2"/>
  <c r="L15" i="2"/>
  <c r="L8" i="2"/>
  <c r="L5" i="2"/>
  <c r="L4" i="2" s="1"/>
  <c r="L10" i="2"/>
  <c r="L52" i="2"/>
  <c r="K42" i="2" l="1"/>
  <c r="H3" i="7" l="1"/>
  <c r="K55" i="2"/>
  <c r="K22" i="2"/>
  <c r="N3" i="12"/>
  <c r="I3" i="17"/>
  <c r="N49" i="15"/>
  <c r="N50" i="15"/>
  <c r="N51" i="15"/>
  <c r="N52" i="15"/>
  <c r="N53" i="15"/>
  <c r="N54" i="15"/>
  <c r="I10" i="4"/>
  <c r="N50" i="16"/>
  <c r="N51" i="16"/>
  <c r="N52" i="16"/>
  <c r="N53" i="16"/>
  <c r="N54" i="16"/>
  <c r="N55" i="16"/>
  <c r="N75" i="16"/>
  <c r="K46" i="2"/>
  <c r="I5" i="12"/>
  <c r="I3" i="9"/>
  <c r="I16" i="14"/>
  <c r="I3" i="15"/>
  <c r="K10" i="2"/>
  <c r="K8" i="2"/>
  <c r="J4" i="2"/>
  <c r="K4" i="2"/>
  <c r="K5" i="2"/>
  <c r="H62" i="19" l="1"/>
  <c r="H46" i="17"/>
  <c r="H77" i="16"/>
  <c r="N33" i="16"/>
  <c r="N34" i="16"/>
  <c r="N35" i="16"/>
  <c r="N36" i="16"/>
  <c r="N37" i="16"/>
  <c r="N38" i="16"/>
  <c r="N39" i="16"/>
  <c r="N40" i="16"/>
  <c r="N41" i="16"/>
  <c r="N42" i="16"/>
  <c r="N43" i="16"/>
  <c r="N44" i="16"/>
  <c r="N45" i="16"/>
  <c r="N46" i="16"/>
  <c r="N47" i="16"/>
  <c r="N48" i="16"/>
  <c r="N49" i="16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J30" i="2"/>
  <c r="J16" i="2"/>
  <c r="H3" i="9" l="1"/>
  <c r="H5" i="4"/>
  <c r="F9" i="6"/>
  <c r="J46" i="2" l="1"/>
  <c r="H4" i="17"/>
  <c r="H45" i="16"/>
  <c r="N58" i="4" l="1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H9" i="4"/>
  <c r="H8" i="4"/>
  <c r="H26" i="4"/>
  <c r="H10" i="4" l="1"/>
  <c r="J42" i="2"/>
  <c r="H12" i="4"/>
  <c r="L10" i="12"/>
  <c r="N22" i="2" s="1"/>
  <c r="N4" i="12"/>
  <c r="N5" i="12"/>
  <c r="N6" i="12"/>
  <c r="N7" i="12"/>
  <c r="N8" i="12"/>
  <c r="N9" i="12"/>
  <c r="I10" i="12"/>
  <c r="J10" i="12"/>
  <c r="L22" i="2" s="1"/>
  <c r="K10" i="12"/>
  <c r="M22" i="2" s="1"/>
  <c r="M10" i="12"/>
  <c r="O22" i="2" s="1"/>
  <c r="J8" i="2"/>
  <c r="J10" i="2"/>
  <c r="P9" i="2"/>
  <c r="J5" i="2"/>
  <c r="N10" i="12" l="1"/>
  <c r="G9" i="4"/>
  <c r="Q22" i="2"/>
  <c r="G4" i="17" l="1"/>
  <c r="N47" i="15"/>
  <c r="N48" i="15"/>
  <c r="N63" i="15"/>
  <c r="N40" i="15"/>
  <c r="N41" i="15"/>
  <c r="N42" i="15"/>
  <c r="N43" i="15"/>
  <c r="N44" i="15"/>
  <c r="N45" i="15"/>
  <c r="G9" i="6"/>
  <c r="H9" i="6"/>
  <c r="I9" i="6"/>
  <c r="J9" i="6"/>
  <c r="K9" i="6"/>
  <c r="G3" i="9"/>
  <c r="I46" i="2"/>
  <c r="N38" i="15"/>
  <c r="N39" i="15"/>
  <c r="N46" i="15"/>
  <c r="N64" i="15"/>
  <c r="G10" i="4"/>
  <c r="G3" i="7"/>
  <c r="I44" i="2"/>
  <c r="I16" i="2"/>
  <c r="I13" i="2"/>
  <c r="I14" i="2" s="1"/>
  <c r="N35" i="15"/>
  <c r="N36" i="15"/>
  <c r="N37" i="15"/>
  <c r="G6" i="6"/>
  <c r="G5" i="6"/>
  <c r="G3" i="4"/>
  <c r="I24" i="2"/>
  <c r="G4" i="6"/>
  <c r="I23" i="2"/>
  <c r="G4" i="7"/>
  <c r="I38" i="2"/>
  <c r="G27" i="4"/>
  <c r="G26" i="4"/>
  <c r="N29" i="16"/>
  <c r="N30" i="16"/>
  <c r="N31" i="16"/>
  <c r="N32" i="16"/>
  <c r="I15" i="2"/>
  <c r="G13" i="2"/>
  <c r="H13" i="2"/>
  <c r="I5" i="2"/>
  <c r="I8" i="2"/>
  <c r="I10" i="2"/>
  <c r="I4" i="2" l="1"/>
  <c r="D7" i="2"/>
  <c r="F3" i="7" l="1"/>
  <c r="F10" i="4"/>
  <c r="F4" i="17" l="1"/>
  <c r="N34" i="15"/>
  <c r="N24" i="16"/>
  <c r="N25" i="16"/>
  <c r="N26" i="16"/>
  <c r="N27" i="16"/>
  <c r="N28" i="16"/>
  <c r="N33" i="15"/>
  <c r="F22" i="15"/>
  <c r="F9" i="4"/>
  <c r="H37" i="2"/>
  <c r="H38" i="2"/>
  <c r="F11" i="4"/>
  <c r="F3" i="9"/>
  <c r="F5" i="9" l="1"/>
  <c r="H8" i="2" l="1"/>
  <c r="H5" i="2"/>
  <c r="H4" i="2"/>
  <c r="H10" i="2"/>
  <c r="F28" i="15"/>
  <c r="E3" i="7" l="1"/>
  <c r="D5" i="8"/>
  <c r="E5" i="8"/>
  <c r="F5" i="8"/>
  <c r="G5" i="8"/>
  <c r="H5" i="8"/>
  <c r="I5" i="8"/>
  <c r="J5" i="8"/>
  <c r="K5" i="8"/>
  <c r="L5" i="8"/>
  <c r="N28" i="15"/>
  <c r="N29" i="15"/>
  <c r="N30" i="15"/>
  <c r="N31" i="15"/>
  <c r="N32" i="15"/>
  <c r="E23" i="15"/>
  <c r="N23" i="15" s="1"/>
  <c r="N22" i="15"/>
  <c r="N24" i="15"/>
  <c r="N25" i="15"/>
  <c r="N26" i="15"/>
  <c r="N27" i="15"/>
  <c r="N8" i="20"/>
  <c r="E5" i="17"/>
  <c r="E4" i="17"/>
  <c r="E8" i="4"/>
  <c r="E10" i="4"/>
  <c r="E29" i="4"/>
  <c r="E9" i="4"/>
  <c r="E3" i="9"/>
  <c r="E3" i="8"/>
  <c r="E11" i="4"/>
  <c r="G8" i="2"/>
  <c r="G10" i="2"/>
  <c r="G15" i="2"/>
  <c r="G5" i="2"/>
  <c r="G4" i="2" s="1"/>
  <c r="N7" i="20" l="1"/>
  <c r="N6" i="20"/>
  <c r="N5" i="20"/>
  <c r="N4" i="20"/>
  <c r="F5" i="2" l="1"/>
  <c r="F8" i="2"/>
  <c r="D6" i="9" l="1"/>
  <c r="E6" i="9"/>
  <c r="F6" i="9"/>
  <c r="G6" i="9"/>
  <c r="H6" i="9"/>
  <c r="I6" i="9"/>
  <c r="J6" i="9"/>
  <c r="K6" i="9"/>
  <c r="L6" i="9"/>
  <c r="M6" i="9"/>
  <c r="F40" i="2"/>
  <c r="F37" i="2"/>
  <c r="N21" i="15"/>
  <c r="N6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45" i="17"/>
  <c r="N3" i="17"/>
  <c r="E46" i="17"/>
  <c r="F46" i="17"/>
  <c r="G46" i="17"/>
  <c r="I46" i="17"/>
  <c r="J46" i="17"/>
  <c r="K46" i="17"/>
  <c r="L46" i="17"/>
  <c r="M46" i="17"/>
  <c r="D4" i="17"/>
  <c r="D5" i="17"/>
  <c r="D46" i="17" s="1"/>
  <c r="D65" i="15"/>
  <c r="D3" i="7"/>
  <c r="F4" i="2"/>
  <c r="J13" i="2"/>
  <c r="K13" i="2"/>
  <c r="N13" i="2"/>
  <c r="O13" i="2"/>
  <c r="F13" i="2"/>
  <c r="F10" i="2"/>
  <c r="D40" i="2" l="1"/>
  <c r="P44" i="2" l="1"/>
  <c r="P43" i="2"/>
  <c r="E8" i="2"/>
  <c r="E5" i="2"/>
  <c r="D8" i="2"/>
  <c r="D5" i="2"/>
  <c r="C3" i="9"/>
  <c r="C3" i="7"/>
  <c r="C3" i="8"/>
  <c r="C4" i="4"/>
  <c r="C5" i="17"/>
  <c r="N5" i="17" s="1"/>
  <c r="B4" i="17"/>
  <c r="C4" i="17"/>
  <c r="E10" i="2"/>
  <c r="E13" i="2"/>
  <c r="C4" i="7"/>
  <c r="N11" i="15"/>
  <c r="C5" i="6"/>
  <c r="C6" i="6"/>
  <c r="N4" i="17" l="1"/>
  <c r="N46" i="17" s="1"/>
  <c r="C46" i="17"/>
  <c r="R43" i="2"/>
  <c r="N7" i="19"/>
  <c r="N8" i="19"/>
  <c r="N9" i="19"/>
  <c r="N10" i="19"/>
  <c r="N11" i="19"/>
  <c r="N12" i="19"/>
  <c r="N13" i="19"/>
  <c r="P39" i="2" l="1"/>
  <c r="R39" i="2" s="1"/>
  <c r="C39" i="2"/>
  <c r="C40" i="2"/>
  <c r="C43" i="2"/>
  <c r="D55" i="20"/>
  <c r="F34" i="2" s="1"/>
  <c r="E55" i="20"/>
  <c r="G34" i="2" s="1"/>
  <c r="F55" i="20"/>
  <c r="H34" i="2" s="1"/>
  <c r="G55" i="20"/>
  <c r="I34" i="2" s="1"/>
  <c r="H55" i="20"/>
  <c r="J34" i="2" s="1"/>
  <c r="I55" i="20"/>
  <c r="K34" i="2" s="1"/>
  <c r="J55" i="20"/>
  <c r="L34" i="2" s="1"/>
  <c r="K55" i="20"/>
  <c r="M34" i="2" s="1"/>
  <c r="L55" i="20"/>
  <c r="N34" i="2" s="1"/>
  <c r="M55" i="20"/>
  <c r="O34" i="2" s="1"/>
  <c r="D62" i="19"/>
  <c r="F29" i="2" s="1"/>
  <c r="E62" i="19"/>
  <c r="G29" i="2" s="1"/>
  <c r="F62" i="19"/>
  <c r="H29" i="2" s="1"/>
  <c r="G62" i="19"/>
  <c r="I29" i="2" s="1"/>
  <c r="J29" i="2"/>
  <c r="I62" i="19"/>
  <c r="K29" i="2" s="1"/>
  <c r="J62" i="19"/>
  <c r="L29" i="2" s="1"/>
  <c r="K62" i="19"/>
  <c r="M29" i="2" s="1"/>
  <c r="N14" i="19"/>
  <c r="N15" i="19"/>
  <c r="N16" i="19"/>
  <c r="N17" i="19"/>
  <c r="N18" i="19"/>
  <c r="N19" i="19"/>
  <c r="N20" i="19"/>
  <c r="N21" i="19"/>
  <c r="N22" i="19"/>
  <c r="N23" i="19"/>
  <c r="N24" i="19"/>
  <c r="N25" i="19"/>
  <c r="N26" i="19"/>
  <c r="N27" i="19"/>
  <c r="N28" i="19"/>
  <c r="N29" i="19"/>
  <c r="N30" i="19"/>
  <c r="N31" i="19"/>
  <c r="N32" i="19"/>
  <c r="N33" i="19"/>
  <c r="N34" i="19"/>
  <c r="N35" i="19"/>
  <c r="N36" i="19"/>
  <c r="N37" i="19"/>
  <c r="N38" i="19"/>
  <c r="N39" i="19"/>
  <c r="F28" i="2"/>
  <c r="G28" i="2"/>
  <c r="H28" i="2"/>
  <c r="I28" i="2"/>
  <c r="J28" i="2"/>
  <c r="K28" i="2"/>
  <c r="L28" i="2"/>
  <c r="D77" i="16"/>
  <c r="F27" i="2" s="1"/>
  <c r="E77" i="16"/>
  <c r="G27" i="2" s="1"/>
  <c r="F77" i="16"/>
  <c r="H27" i="2" s="1"/>
  <c r="G77" i="16"/>
  <c r="I27" i="2" s="1"/>
  <c r="J27" i="2"/>
  <c r="I77" i="16"/>
  <c r="K27" i="2" s="1"/>
  <c r="F26" i="2"/>
  <c r="E65" i="15"/>
  <c r="G26" i="2" s="1"/>
  <c r="F65" i="15"/>
  <c r="H26" i="2" s="1"/>
  <c r="G65" i="15"/>
  <c r="I26" i="2" s="1"/>
  <c r="H65" i="15"/>
  <c r="J26" i="2" s="1"/>
  <c r="I65" i="15"/>
  <c r="K26" i="2" s="1"/>
  <c r="J65" i="15"/>
  <c r="L26" i="2" s="1"/>
  <c r="K65" i="15"/>
  <c r="M26" i="2" s="1"/>
  <c r="D32" i="14"/>
  <c r="F25" i="2" s="1"/>
  <c r="E32" i="14"/>
  <c r="G25" i="2" s="1"/>
  <c r="F32" i="14"/>
  <c r="H25" i="2" s="1"/>
  <c r="G32" i="14"/>
  <c r="I25" i="2" s="1"/>
  <c r="H32" i="14"/>
  <c r="J25" i="2" s="1"/>
  <c r="I32" i="14"/>
  <c r="K25" i="2" s="1"/>
  <c r="J32" i="14"/>
  <c r="L25" i="2" s="1"/>
  <c r="K32" i="14"/>
  <c r="M25" i="2" s="1"/>
  <c r="L32" i="14"/>
  <c r="N25" i="2" s="1"/>
  <c r="M32" i="14"/>
  <c r="O25" i="2" s="1"/>
  <c r="N18" i="2"/>
  <c r="I19" i="2"/>
  <c r="J19" i="2"/>
  <c r="K19" i="2"/>
  <c r="L19" i="2"/>
  <c r="M19" i="2"/>
  <c r="F31" i="2"/>
  <c r="G31" i="2"/>
  <c r="H31" i="2"/>
  <c r="I31" i="2"/>
  <c r="J31" i="2"/>
  <c r="F21" i="2"/>
  <c r="G21" i="2"/>
  <c r="H21" i="2"/>
  <c r="I21" i="2"/>
  <c r="J21" i="2"/>
  <c r="J14" i="2"/>
  <c r="K14" i="2"/>
  <c r="K16" i="2" s="1"/>
  <c r="L14" i="2"/>
  <c r="L16" i="2" s="1"/>
  <c r="M14" i="2"/>
  <c r="N14" i="2"/>
  <c r="N16" i="2" s="1"/>
  <c r="O14" i="2"/>
  <c r="J15" i="2"/>
  <c r="K15" i="2"/>
  <c r="M15" i="2"/>
  <c r="N15" i="2"/>
  <c r="O15" i="2"/>
  <c r="O16" i="2" s="1"/>
  <c r="R6" i="2"/>
  <c r="D6" i="7"/>
  <c r="F20" i="2" s="1"/>
  <c r="E6" i="7"/>
  <c r="G20" i="2" s="1"/>
  <c r="F6" i="7"/>
  <c r="H20" i="2" s="1"/>
  <c r="G6" i="7"/>
  <c r="I20" i="2" s="1"/>
  <c r="H6" i="7"/>
  <c r="J20" i="2" s="1"/>
  <c r="I6" i="7"/>
  <c r="K20" i="2" s="1"/>
  <c r="J6" i="7"/>
  <c r="L20" i="2" s="1"/>
  <c r="K6" i="7"/>
  <c r="M20" i="2" s="1"/>
  <c r="N4" i="5"/>
  <c r="N5" i="5"/>
  <c r="N6" i="5"/>
  <c r="N3" i="5"/>
  <c r="M10" i="5"/>
  <c r="O18" i="2" s="1"/>
  <c r="K10" i="5"/>
  <c r="M18" i="2" s="1"/>
  <c r="J10" i="5"/>
  <c r="L18" i="2" s="1"/>
  <c r="I10" i="5"/>
  <c r="K18" i="2" s="1"/>
  <c r="I102" i="4"/>
  <c r="K17" i="2" s="1"/>
  <c r="H102" i="4"/>
  <c r="J17" i="2" s="1"/>
  <c r="K102" i="4"/>
  <c r="M17" i="2" s="1"/>
  <c r="J102" i="4"/>
  <c r="L17" i="2" s="1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P18" i="2" l="1"/>
  <c r="P14" i="2"/>
  <c r="M16" i="2"/>
  <c r="B3" i="7"/>
  <c r="D13" i="2" l="1"/>
  <c r="N3" i="20"/>
  <c r="B62" i="19"/>
  <c r="N10" i="15"/>
  <c r="N12" i="15"/>
  <c r="N13" i="15"/>
  <c r="N14" i="15"/>
  <c r="N15" i="15"/>
  <c r="N16" i="15"/>
  <c r="N17" i="15"/>
  <c r="B8" i="15"/>
  <c r="N8" i="15" s="1"/>
  <c r="N9" i="15"/>
  <c r="B9" i="4" l="1"/>
  <c r="B10" i="4"/>
  <c r="E15" i="2"/>
  <c r="H15" i="2"/>
  <c r="E14" i="2"/>
  <c r="F14" i="2"/>
  <c r="F16" i="2" s="1"/>
  <c r="G14" i="2"/>
  <c r="G16" i="2" s="1"/>
  <c r="H14" i="2"/>
  <c r="H16" i="2" s="1"/>
  <c r="B3" i="9"/>
  <c r="D15" i="2"/>
  <c r="D11" i="2"/>
  <c r="D10" i="2"/>
  <c r="B7" i="17"/>
  <c r="B12" i="4"/>
  <c r="N7" i="17" l="1"/>
  <c r="B46" i="17"/>
  <c r="D14" i="2"/>
  <c r="D16" i="2" s="1"/>
  <c r="E16" i="2"/>
  <c r="C62" i="19"/>
  <c r="E29" i="2" s="1"/>
  <c r="L62" i="19"/>
  <c r="N29" i="2" s="1"/>
  <c r="M62" i="19"/>
  <c r="O29" i="2" s="1"/>
  <c r="N4" i="15"/>
  <c r="N4" i="14"/>
  <c r="N5" i="14"/>
  <c r="N6" i="14"/>
  <c r="N7" i="14"/>
  <c r="N8" i="14"/>
  <c r="N9" i="14"/>
  <c r="N10" i="14"/>
  <c r="N11" i="14"/>
  <c r="N12" i="14"/>
  <c r="N13" i="14"/>
  <c r="N14" i="14"/>
  <c r="N15" i="14"/>
  <c r="N16" i="14"/>
  <c r="N17" i="14"/>
  <c r="N18" i="14"/>
  <c r="N19" i="14"/>
  <c r="N20" i="14"/>
  <c r="N21" i="14"/>
  <c r="N22" i="14"/>
  <c r="N23" i="14"/>
  <c r="N24" i="14"/>
  <c r="N25" i="14"/>
  <c r="N26" i="14"/>
  <c r="N27" i="14"/>
  <c r="N28" i="14"/>
  <c r="N30" i="14"/>
  <c r="N31" i="14"/>
  <c r="N3" i="14"/>
  <c r="B55" i="20"/>
  <c r="D34" i="2" s="1"/>
  <c r="C55" i="20"/>
  <c r="E34" i="2" s="1"/>
  <c r="N13" i="4" l="1"/>
  <c r="N14" i="4"/>
  <c r="N15" i="4"/>
  <c r="N16" i="4"/>
  <c r="N17" i="4"/>
  <c r="N18" i="4"/>
  <c r="N19" i="4"/>
  <c r="N41" i="4" l="1"/>
  <c r="N42" i="4"/>
  <c r="C45" i="2"/>
  <c r="C44" i="2"/>
  <c r="C41" i="2"/>
  <c r="C42" i="2"/>
  <c r="C38" i="2"/>
  <c r="C37" i="2"/>
  <c r="C30" i="2"/>
  <c r="C29" i="2"/>
  <c r="Q29" i="2" s="1"/>
  <c r="C32" i="2"/>
  <c r="C33" i="2"/>
  <c r="C34" i="2"/>
  <c r="C31" i="2"/>
  <c r="C46" i="2" l="1"/>
  <c r="N4" i="19" l="1"/>
  <c r="N3" i="19"/>
  <c r="N41" i="19"/>
  <c r="N40" i="19"/>
  <c r="N6" i="19"/>
  <c r="N5" i="19"/>
  <c r="N8" i="6" l="1"/>
  <c r="B9" i="6" l="1"/>
  <c r="C9" i="6"/>
  <c r="D9" i="6"/>
  <c r="F19" i="2" s="1"/>
  <c r="E9" i="6"/>
  <c r="G19" i="2" s="1"/>
  <c r="H19" i="2"/>
  <c r="L9" i="6"/>
  <c r="N19" i="2" s="1"/>
  <c r="M9" i="6"/>
  <c r="O19" i="2" s="1"/>
  <c r="E19" i="2" l="1"/>
  <c r="N12" i="4" l="1"/>
  <c r="N9" i="4"/>
  <c r="P41" i="2" l="1"/>
  <c r="R41" i="2" s="1"/>
  <c r="B46" i="2"/>
  <c r="N4" i="16"/>
  <c r="N5" i="16"/>
  <c r="N6" i="16"/>
  <c r="N7" i="16"/>
  <c r="N8" i="16"/>
  <c r="N9" i="16"/>
  <c r="N4" i="7"/>
  <c r="N16" i="20"/>
  <c r="K31" i="1"/>
  <c r="D28" i="2"/>
  <c r="E28" i="2"/>
  <c r="M28" i="2"/>
  <c r="N28" i="2"/>
  <c r="O28" i="2"/>
  <c r="B1" i="4"/>
  <c r="B102" i="4" s="1"/>
  <c r="P33" i="2"/>
  <c r="R33" i="2" s="1"/>
  <c r="P38" i="2"/>
  <c r="R38" i="2" s="1"/>
  <c r="M6" i="7"/>
  <c r="O20" i="2" s="1"/>
  <c r="N18" i="15"/>
  <c r="N19" i="15"/>
  <c r="N18" i="20"/>
  <c r="N20" i="15"/>
  <c r="N5" i="9"/>
  <c r="F102" i="4"/>
  <c r="H17" i="2" s="1"/>
  <c r="K77" i="16"/>
  <c r="M27" i="2" s="1"/>
  <c r="P32" i="2"/>
  <c r="R32" i="2" s="1"/>
  <c r="P8" i="2"/>
  <c r="C102" i="4"/>
  <c r="E17" i="2" s="1"/>
  <c r="C6" i="7"/>
  <c r="N6" i="15"/>
  <c r="N7" i="15"/>
  <c r="N3" i="6"/>
  <c r="D19" i="2"/>
  <c r="N6" i="4"/>
  <c r="N54" i="20"/>
  <c r="N53" i="20"/>
  <c r="N52" i="20"/>
  <c r="N51" i="20"/>
  <c r="N50" i="20"/>
  <c r="N49" i="20"/>
  <c r="N48" i="20"/>
  <c r="N47" i="20"/>
  <c r="N46" i="20"/>
  <c r="N45" i="20"/>
  <c r="N44" i="20"/>
  <c r="N43" i="20"/>
  <c r="N42" i="20"/>
  <c r="N41" i="20"/>
  <c r="N40" i="20"/>
  <c r="N39" i="20"/>
  <c r="N38" i="20"/>
  <c r="N37" i="20"/>
  <c r="N36" i="20"/>
  <c r="N35" i="20"/>
  <c r="N34" i="20"/>
  <c r="N33" i="20"/>
  <c r="N32" i="20"/>
  <c r="N31" i="20"/>
  <c r="N30" i="20"/>
  <c r="N29" i="20"/>
  <c r="N28" i="20"/>
  <c r="N27" i="20"/>
  <c r="N26" i="20"/>
  <c r="N25" i="20"/>
  <c r="N24" i="20"/>
  <c r="N23" i="20"/>
  <c r="N22" i="20"/>
  <c r="N21" i="20"/>
  <c r="N20" i="20"/>
  <c r="N19" i="20"/>
  <c r="N17" i="20"/>
  <c r="N12" i="20"/>
  <c r="N11" i="20"/>
  <c r="N10" i="20"/>
  <c r="N9" i="20"/>
  <c r="B1" i="20"/>
  <c r="D29" i="2"/>
  <c r="N46" i="19"/>
  <c r="N45" i="19"/>
  <c r="N44" i="19"/>
  <c r="N43" i="19"/>
  <c r="N42" i="19"/>
  <c r="B1" i="19"/>
  <c r="D1" i="17"/>
  <c r="M77" i="16"/>
  <c r="O27" i="2" s="1"/>
  <c r="L77" i="16"/>
  <c r="N27" i="2" s="1"/>
  <c r="J77" i="16"/>
  <c r="L27" i="2" s="1"/>
  <c r="B77" i="16"/>
  <c r="D27" i="2" s="1"/>
  <c r="N76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N3" i="16"/>
  <c r="B1" i="16"/>
  <c r="M65" i="15"/>
  <c r="O26" i="2" s="1"/>
  <c r="L65" i="15"/>
  <c r="N26" i="2" s="1"/>
  <c r="N35" i="2" s="1"/>
  <c r="C65" i="15"/>
  <c r="B65" i="15"/>
  <c r="D26" i="2" s="1"/>
  <c r="N5" i="15"/>
  <c r="B1" i="15"/>
  <c r="C32" i="14"/>
  <c r="E25" i="2" s="1"/>
  <c r="B32" i="14"/>
  <c r="D25" i="2" s="1"/>
  <c r="B1" i="14"/>
  <c r="H10" i="12"/>
  <c r="G10" i="12"/>
  <c r="I22" i="2" s="1"/>
  <c r="F10" i="12"/>
  <c r="H22" i="2" s="1"/>
  <c r="E10" i="12"/>
  <c r="G22" i="2" s="1"/>
  <c r="D10" i="12"/>
  <c r="F22" i="2" s="1"/>
  <c r="C10" i="12"/>
  <c r="E22" i="2" s="1"/>
  <c r="B10" i="12"/>
  <c r="D22" i="2" s="1"/>
  <c r="K20" i="1"/>
  <c r="B1" i="12"/>
  <c r="N21" i="1"/>
  <c r="O21" i="2"/>
  <c r="M21" i="2"/>
  <c r="L21" i="2"/>
  <c r="K21" i="2"/>
  <c r="C6" i="9"/>
  <c r="B6" i="9"/>
  <c r="D21" i="2" s="1"/>
  <c r="N4" i="9"/>
  <c r="N3" i="9"/>
  <c r="B1" i="9"/>
  <c r="M5" i="8"/>
  <c r="O31" i="2" s="1"/>
  <c r="N31" i="2"/>
  <c r="M31" i="2"/>
  <c r="L31" i="2"/>
  <c r="K31" i="2"/>
  <c r="C5" i="8"/>
  <c r="E31" i="2" s="1"/>
  <c r="B5" i="8"/>
  <c r="D31" i="2" s="1"/>
  <c r="N4" i="8"/>
  <c r="N3" i="8"/>
  <c r="B1" i="8"/>
  <c r="L6" i="7"/>
  <c r="N20" i="2" s="1"/>
  <c r="B6" i="7"/>
  <c r="D20" i="2" s="1"/>
  <c r="B1" i="7"/>
  <c r="N6" i="6"/>
  <c r="N5" i="6"/>
  <c r="N4" i="6"/>
  <c r="B1" i="6"/>
  <c r="H10" i="5"/>
  <c r="J18" i="2" s="1"/>
  <c r="G10" i="5"/>
  <c r="I18" i="2" s="1"/>
  <c r="F10" i="5"/>
  <c r="H18" i="2" s="1"/>
  <c r="E10" i="5"/>
  <c r="G18" i="2" s="1"/>
  <c r="D10" i="5"/>
  <c r="F18" i="2" s="1"/>
  <c r="C10" i="5"/>
  <c r="E18" i="2" s="1"/>
  <c r="B10" i="5"/>
  <c r="N13" i="1" s="1"/>
  <c r="B1" i="5"/>
  <c r="M102" i="4"/>
  <c r="O17" i="2" s="1"/>
  <c r="G102" i="4"/>
  <c r="I17" i="2" s="1"/>
  <c r="E102" i="4"/>
  <c r="G17" i="2" s="1"/>
  <c r="D102" i="4"/>
  <c r="F17" i="2" s="1"/>
  <c r="N10" i="4"/>
  <c r="N102" i="4" s="1"/>
  <c r="N8" i="4"/>
  <c r="N7" i="4"/>
  <c r="N5" i="4"/>
  <c r="N4" i="4"/>
  <c r="N3" i="4"/>
  <c r="S33" i="3"/>
  <c r="R33" i="3"/>
  <c r="Q33" i="3"/>
  <c r="P33" i="3"/>
  <c r="O33" i="3"/>
  <c r="N33" i="3"/>
  <c r="M33" i="3"/>
  <c r="L33" i="3"/>
  <c r="K33" i="3"/>
  <c r="J33" i="3"/>
  <c r="I33" i="3"/>
  <c r="H33" i="3"/>
  <c r="T32" i="3"/>
  <c r="G32" i="3"/>
  <c r="T31" i="3"/>
  <c r="G31" i="3"/>
  <c r="U31" i="3" s="1"/>
  <c r="T30" i="3"/>
  <c r="G30" i="3"/>
  <c r="T29" i="3"/>
  <c r="G29" i="3"/>
  <c r="T28" i="3"/>
  <c r="G28" i="3"/>
  <c r="U28" i="3" s="1"/>
  <c r="T27" i="3"/>
  <c r="G27" i="3"/>
  <c r="T26" i="3"/>
  <c r="G26" i="3"/>
  <c r="T25" i="3"/>
  <c r="G25" i="3"/>
  <c r="T24" i="3"/>
  <c r="F24" i="3"/>
  <c r="T23" i="3"/>
  <c r="G23" i="3"/>
  <c r="T22" i="3"/>
  <c r="G22" i="3"/>
  <c r="T21" i="3"/>
  <c r="G21" i="3"/>
  <c r="U21" i="3" s="1"/>
  <c r="T20" i="3"/>
  <c r="G20" i="3"/>
  <c r="U20" i="3" s="1"/>
  <c r="T19" i="3"/>
  <c r="G19" i="3"/>
  <c r="T18" i="3"/>
  <c r="G18" i="3"/>
  <c r="G33" i="3" s="1"/>
  <c r="T17" i="3"/>
  <c r="G17" i="3"/>
  <c r="T16" i="3"/>
  <c r="G16" i="3"/>
  <c r="T15" i="3"/>
  <c r="G15" i="3"/>
  <c r="U15" i="3" s="1"/>
  <c r="T14" i="3"/>
  <c r="G14" i="3"/>
  <c r="T13" i="3"/>
  <c r="G13" i="3"/>
  <c r="T12" i="3"/>
  <c r="T33" i="3" s="1"/>
  <c r="G12" i="3"/>
  <c r="F10" i="3"/>
  <c r="H9" i="3"/>
  <c r="T9" i="3" s="1"/>
  <c r="T8" i="3"/>
  <c r="T7" i="3"/>
  <c r="T6" i="3"/>
  <c r="T5" i="3"/>
  <c r="T4" i="3"/>
  <c r="G4" i="3"/>
  <c r="G10" i="3" s="1"/>
  <c r="P45" i="2"/>
  <c r="R45" i="2" s="1"/>
  <c r="R44" i="2"/>
  <c r="R37" i="2"/>
  <c r="C28" i="2"/>
  <c r="Q28" i="2" s="1"/>
  <c r="C27" i="2"/>
  <c r="Q27" i="2" s="1"/>
  <c r="C26" i="2"/>
  <c r="Q26" i="2" s="1"/>
  <c r="C25" i="2"/>
  <c r="Q25" i="2" s="1"/>
  <c r="C24" i="2"/>
  <c r="Q24" i="2" s="1"/>
  <c r="C23" i="2"/>
  <c r="Q23" i="2" s="1"/>
  <c r="C22" i="2"/>
  <c r="C21" i="2"/>
  <c r="Q21" i="2" s="1"/>
  <c r="C20" i="2"/>
  <c r="Q20" i="2" s="1"/>
  <c r="C19" i="2"/>
  <c r="Q19" i="2" s="1"/>
  <c r="C18" i="2"/>
  <c r="Q18" i="2" s="1"/>
  <c r="C17" i="2"/>
  <c r="B14" i="2"/>
  <c r="B15" i="2" s="1"/>
  <c r="C8" i="2"/>
  <c r="Q8" i="2" s="1"/>
  <c r="P7" i="2"/>
  <c r="C7" i="2"/>
  <c r="Q7" i="2" s="1"/>
  <c r="C5" i="2"/>
  <c r="Q3" i="2"/>
  <c r="P3" i="2"/>
  <c r="T32" i="1"/>
  <c r="S32" i="1"/>
  <c r="R32" i="1"/>
  <c r="Q32" i="1"/>
  <c r="P32" i="1"/>
  <c r="O32" i="1"/>
  <c r="G31" i="1"/>
  <c r="V31" i="1" s="1"/>
  <c r="N30" i="1"/>
  <c r="M30" i="1"/>
  <c r="L30" i="1"/>
  <c r="K30" i="1"/>
  <c r="J30" i="1"/>
  <c r="I30" i="1"/>
  <c r="U30" i="1" s="1"/>
  <c r="G30" i="1"/>
  <c r="V30" i="1" s="1"/>
  <c r="G29" i="1"/>
  <c r="V29" i="1" s="1"/>
  <c r="L28" i="1"/>
  <c r="G28" i="1"/>
  <c r="V28" i="1"/>
  <c r="N27" i="1"/>
  <c r="M27" i="1"/>
  <c r="L27" i="1"/>
  <c r="K27" i="1"/>
  <c r="J27" i="1"/>
  <c r="I27" i="1"/>
  <c r="U27" i="1" s="1"/>
  <c r="G27" i="1"/>
  <c r="V27" i="1"/>
  <c r="G26" i="1"/>
  <c r="V26" i="1"/>
  <c r="N25" i="1"/>
  <c r="M25" i="1"/>
  <c r="L25" i="1"/>
  <c r="K25" i="1"/>
  <c r="J25" i="1"/>
  <c r="I25" i="1"/>
  <c r="U25" i="1" s="1"/>
  <c r="G25" i="1"/>
  <c r="V25" i="1" s="1"/>
  <c r="N24" i="1"/>
  <c r="M24" i="1"/>
  <c r="L24" i="1"/>
  <c r="K24" i="1"/>
  <c r="J24" i="1"/>
  <c r="I24" i="1"/>
  <c r="U24" i="1" s="1"/>
  <c r="F24" i="1"/>
  <c r="G24" i="1" s="1"/>
  <c r="V24" i="1" s="1"/>
  <c r="W24" i="1" s="1"/>
  <c r="G23" i="1"/>
  <c r="V23" i="1" s="1"/>
  <c r="N22" i="1"/>
  <c r="M22" i="1"/>
  <c r="G22" i="1"/>
  <c r="V22" i="1"/>
  <c r="L21" i="1"/>
  <c r="I21" i="1"/>
  <c r="G21" i="1"/>
  <c r="V21" i="1"/>
  <c r="G20" i="1"/>
  <c r="G32" i="1" s="1"/>
  <c r="V32" i="1" s="1"/>
  <c r="G19" i="1"/>
  <c r="V19" i="1" s="1"/>
  <c r="N18" i="1"/>
  <c r="M18" i="1"/>
  <c r="L18" i="1"/>
  <c r="G18" i="1"/>
  <c r="V18" i="1" s="1"/>
  <c r="V17" i="1"/>
  <c r="M17" i="1"/>
  <c r="L17" i="1"/>
  <c r="K17" i="1"/>
  <c r="J17" i="1"/>
  <c r="I17" i="1"/>
  <c r="G17" i="1"/>
  <c r="G16" i="1"/>
  <c r="V16" i="1" s="1"/>
  <c r="N15" i="1"/>
  <c r="M15" i="1"/>
  <c r="L15" i="1"/>
  <c r="K15" i="1"/>
  <c r="J15" i="1"/>
  <c r="I15" i="1"/>
  <c r="U15" i="1" s="1"/>
  <c r="G15" i="1"/>
  <c r="V15" i="1"/>
  <c r="N14" i="1"/>
  <c r="L14" i="1"/>
  <c r="K14" i="1"/>
  <c r="G14" i="1"/>
  <c r="V14" i="1"/>
  <c r="L13" i="1"/>
  <c r="K13" i="1"/>
  <c r="J13" i="1"/>
  <c r="I13" i="1"/>
  <c r="G13" i="1"/>
  <c r="V13" i="1" s="1"/>
  <c r="N12" i="1"/>
  <c r="M12" i="1"/>
  <c r="L12" i="1"/>
  <c r="K12" i="1"/>
  <c r="J12" i="1"/>
  <c r="I12" i="1"/>
  <c r="G12" i="1"/>
  <c r="V12" i="1" s="1"/>
  <c r="N10" i="1"/>
  <c r="M10" i="1"/>
  <c r="L10" i="1"/>
  <c r="K10" i="1"/>
  <c r="J10" i="1"/>
  <c r="H10" i="1"/>
  <c r="F10" i="1"/>
  <c r="V9" i="1"/>
  <c r="I9" i="1"/>
  <c r="U9" i="1"/>
  <c r="W9" i="1" s="1"/>
  <c r="U8" i="1"/>
  <c r="I7" i="1"/>
  <c r="U7" i="1"/>
  <c r="G7" i="1"/>
  <c r="V7" i="1" s="1"/>
  <c r="U6" i="1"/>
  <c r="U5" i="1"/>
  <c r="G5" i="1"/>
  <c r="V5" i="1" s="1"/>
  <c r="L20" i="1"/>
  <c r="U19" i="3"/>
  <c r="U26" i="3"/>
  <c r="U22" i="3"/>
  <c r="U27" i="3"/>
  <c r="U32" i="3"/>
  <c r="H10" i="3"/>
  <c r="N3" i="7"/>
  <c r="M21" i="1"/>
  <c r="J22" i="1"/>
  <c r="U13" i="3"/>
  <c r="F33" i="3"/>
  <c r="G24" i="3"/>
  <c r="U24" i="3" s="1"/>
  <c r="K21" i="1"/>
  <c r="N11" i="4"/>
  <c r="J22" i="2" l="1"/>
  <c r="J35" i="2" s="1"/>
  <c r="J48" i="2" s="1"/>
  <c r="J61" i="2" s="1"/>
  <c r="N12" i="12"/>
  <c r="H35" i="2"/>
  <c r="G35" i="2"/>
  <c r="W25" i="1"/>
  <c r="F32" i="1"/>
  <c r="I10" i="1"/>
  <c r="U10" i="1" s="1"/>
  <c r="V20" i="1"/>
  <c r="W30" i="1"/>
  <c r="D4" i="2"/>
  <c r="E4" i="2"/>
  <c r="U14" i="3"/>
  <c r="U16" i="3"/>
  <c r="U18" i="3"/>
  <c r="U23" i="3"/>
  <c r="U29" i="3"/>
  <c r="N5" i="8"/>
  <c r="N7" i="8" s="1"/>
  <c r="N20" i="1"/>
  <c r="P31" i="2"/>
  <c r="R31" i="2" s="1"/>
  <c r="U12" i="3"/>
  <c r="W27" i="1"/>
  <c r="U17" i="3"/>
  <c r="L35" i="2"/>
  <c r="L48" i="2" s="1"/>
  <c r="L61" i="2" s="1"/>
  <c r="E21" i="2"/>
  <c r="M35" i="2"/>
  <c r="M48" i="2" s="1"/>
  <c r="M61" i="2" s="1"/>
  <c r="F35" i="2"/>
  <c r="I35" i="2"/>
  <c r="I48" i="2" s="1"/>
  <c r="I61" i="2" s="1"/>
  <c r="D18" i="2"/>
  <c r="R18" i="2" s="1"/>
  <c r="N12" i="5"/>
  <c r="E26" i="2"/>
  <c r="E20" i="2"/>
  <c r="O35" i="2"/>
  <c r="R7" i="2"/>
  <c r="R8" i="2"/>
  <c r="D17" i="2"/>
  <c r="N17" i="1"/>
  <c r="N16" i="1"/>
  <c r="Q17" i="2"/>
  <c r="C35" i="2"/>
  <c r="C48" i="2" s="1"/>
  <c r="N55" i="20"/>
  <c r="P34" i="2" s="1"/>
  <c r="R34" i="2" s="1"/>
  <c r="K28" i="1"/>
  <c r="N103" i="4"/>
  <c r="B35" i="2"/>
  <c r="B48" i="2" s="1"/>
  <c r="N19" i="1"/>
  <c r="J28" i="1"/>
  <c r="L31" i="1"/>
  <c r="M31" i="1"/>
  <c r="I28" i="1"/>
  <c r="Q5" i="2"/>
  <c r="Q14" i="2" s="1"/>
  <c r="R14" i="2" s="1"/>
  <c r="M13" i="1"/>
  <c r="L26" i="1"/>
  <c r="M28" i="1"/>
  <c r="N9" i="6"/>
  <c r="N11" i="6" s="1"/>
  <c r="C14" i="2"/>
  <c r="N26" i="1"/>
  <c r="L23" i="1"/>
  <c r="K26" i="1"/>
  <c r="K18" i="1"/>
  <c r="K32" i="1"/>
  <c r="M23" i="1"/>
  <c r="I23" i="1"/>
  <c r="N31" i="1"/>
  <c r="K22" i="1"/>
  <c r="W5" i="1"/>
  <c r="G10" i="1"/>
  <c r="V10" i="1" s="1"/>
  <c r="W10" i="1" s="1"/>
  <c r="W15" i="1"/>
  <c r="T10" i="3"/>
  <c r="W7" i="1"/>
  <c r="J23" i="1"/>
  <c r="K19" i="1"/>
  <c r="I20" i="1"/>
  <c r="I22" i="1"/>
  <c r="M26" i="1"/>
  <c r="K29" i="1"/>
  <c r="M29" i="1"/>
  <c r="J19" i="1"/>
  <c r="J31" i="1"/>
  <c r="J14" i="1"/>
  <c r="J32" i="1" s="1"/>
  <c r="I19" i="1"/>
  <c r="I14" i="1"/>
  <c r="I32" i="1" s="1"/>
  <c r="I16" i="1"/>
  <c r="H46" i="2"/>
  <c r="O46" i="2"/>
  <c r="G46" i="2"/>
  <c r="E46" i="2"/>
  <c r="D46" i="2"/>
  <c r="M19" i="1"/>
  <c r="L19" i="1"/>
  <c r="F46" i="2"/>
  <c r="I31" i="1"/>
  <c r="N29" i="1"/>
  <c r="I29" i="1"/>
  <c r="N28" i="1"/>
  <c r="N23" i="1"/>
  <c r="K23" i="1"/>
  <c r="L22" i="1"/>
  <c r="P22" i="2"/>
  <c r="R22" i="2" s="1"/>
  <c r="J20" i="1"/>
  <c r="M20" i="1"/>
  <c r="J21" i="1"/>
  <c r="U21" i="1" s="1"/>
  <c r="W21" i="1" s="1"/>
  <c r="U17" i="1"/>
  <c r="W17" i="1" s="1"/>
  <c r="J16" i="1"/>
  <c r="K16" i="1"/>
  <c r="P20" i="2"/>
  <c r="R20" i="2" s="1"/>
  <c r="L16" i="1"/>
  <c r="M14" i="1"/>
  <c r="L32" i="1"/>
  <c r="I26" i="1"/>
  <c r="N6" i="9"/>
  <c r="U13" i="1"/>
  <c r="W13" i="1" s="1"/>
  <c r="U12" i="1"/>
  <c r="L29" i="1"/>
  <c r="P19" i="2"/>
  <c r="R19" i="2" s="1"/>
  <c r="J18" i="1"/>
  <c r="I18" i="1"/>
  <c r="M16" i="1"/>
  <c r="N21" i="2"/>
  <c r="N48" i="2" s="1"/>
  <c r="P23" i="2"/>
  <c r="R23" i="2" s="1"/>
  <c r="N62" i="19"/>
  <c r="N10" i="16"/>
  <c r="N77" i="16" s="1"/>
  <c r="C77" i="16"/>
  <c r="E27" i="2" s="1"/>
  <c r="P28" i="2"/>
  <c r="R28" i="2" s="1"/>
  <c r="P42" i="2"/>
  <c r="R42" i="2" s="1"/>
  <c r="P5" i="2"/>
  <c r="N6" i="7"/>
  <c r="N8" i="7" s="1"/>
  <c r="U25" i="3"/>
  <c r="U33" i="3" s="1"/>
  <c r="U30" i="3"/>
  <c r="N3" i="15"/>
  <c r="N65" i="15" s="1"/>
  <c r="N67" i="15" s="1"/>
  <c r="P40" i="2"/>
  <c r="R40" i="2" s="1"/>
  <c r="P30" i="2"/>
  <c r="R30" i="2" s="1"/>
  <c r="H48" i="2" l="1"/>
  <c r="H61" i="2" s="1"/>
  <c r="G48" i="2"/>
  <c r="G61" i="2" s="1"/>
  <c r="D35" i="2"/>
  <c r="D48" i="2" s="1"/>
  <c r="D61" i="2" s="1"/>
  <c r="N8" i="9"/>
  <c r="F48" i="2"/>
  <c r="F61" i="2" s="1"/>
  <c r="E35" i="2"/>
  <c r="E48" i="2" s="1"/>
  <c r="E61" i="2" s="1"/>
  <c r="O48" i="2"/>
  <c r="O61" i="2" s="1"/>
  <c r="R5" i="2"/>
  <c r="P24" i="2"/>
  <c r="R24" i="2" s="1"/>
  <c r="K35" i="2"/>
  <c r="K48" i="2" s="1"/>
  <c r="K61" i="2" s="1"/>
  <c r="N57" i="20"/>
  <c r="N48" i="17"/>
  <c r="P26" i="2"/>
  <c r="R26" i="2" s="1"/>
  <c r="N34" i="14"/>
  <c r="P25" i="2"/>
  <c r="R25" i="2" s="1"/>
  <c r="U22" i="1"/>
  <c r="W22" i="1" s="1"/>
  <c r="P46" i="2"/>
  <c r="R46" i="2"/>
  <c r="U28" i="1"/>
  <c r="W28" i="1" s="1"/>
  <c r="U23" i="1"/>
  <c r="W23" i="1" s="1"/>
  <c r="U31" i="1"/>
  <c r="W31" i="1" s="1"/>
  <c r="U20" i="1"/>
  <c r="W20" i="1" s="1"/>
  <c r="M32" i="1"/>
  <c r="N64" i="19"/>
  <c r="U14" i="1"/>
  <c r="W14" i="1" s="1"/>
  <c r="U19" i="1"/>
  <c r="W19" i="1" s="1"/>
  <c r="N79" i="16"/>
  <c r="N32" i="1"/>
  <c r="U18" i="1"/>
  <c r="W18" i="1" s="1"/>
  <c r="U16" i="1"/>
  <c r="W16" i="1" s="1"/>
  <c r="W12" i="1"/>
  <c r="P27" i="2"/>
  <c r="R27" i="2" s="1"/>
  <c r="J26" i="1"/>
  <c r="U26" i="1" s="1"/>
  <c r="W26" i="1" s="1"/>
  <c r="P29" i="2"/>
  <c r="R29" i="2" s="1"/>
  <c r="J29" i="1"/>
  <c r="U29" i="1" s="1"/>
  <c r="W29" i="1" s="1"/>
  <c r="P17" i="2"/>
  <c r="P21" i="2"/>
  <c r="R21" i="2" s="1"/>
  <c r="P35" i="2" l="1"/>
  <c r="P48" i="2" s="1"/>
  <c r="U32" i="1"/>
  <c r="W32" i="1"/>
  <c r="R17" i="2"/>
  <c r="R35" i="2" s="1"/>
  <c r="R48" i="2" s="1"/>
</calcChain>
</file>

<file path=xl/comments1.xml><?xml version="1.0" encoding="utf-8"?>
<comments xmlns="http://schemas.openxmlformats.org/spreadsheetml/2006/main">
  <authors>
    <author>soglasie1@outlook.com</author>
  </authors>
  <commentList>
    <comment ref="I16" authorId="0" shapeId="0">
      <text>
        <r>
          <rPr>
            <b/>
            <sz val="9"/>
            <color indexed="81"/>
            <rFont val="Tahoma"/>
            <family val="2"/>
            <charset val="204"/>
          </rPr>
          <t>soglasie1@outlook.com:</t>
        </r>
        <r>
          <rPr>
            <sz val="9"/>
            <color indexed="81"/>
            <rFont val="Tahoma"/>
            <family val="2"/>
            <charset val="204"/>
          </rPr>
          <t xml:space="preserve">
26160 корректировка</t>
        </r>
      </text>
    </comment>
  </commentList>
</comments>
</file>

<file path=xl/sharedStrings.xml><?xml version="1.0" encoding="utf-8"?>
<sst xmlns="http://schemas.openxmlformats.org/spreadsheetml/2006/main" count="787" uniqueCount="482">
  <si>
    <t xml:space="preserve">Исполнение финансового плана ДНТ "КП "Согласие" за период с июня 2016 по май  2017 года </t>
  </si>
  <si>
    <t>Статьи поступления денежных средств</t>
  </si>
  <si>
    <t>Лимит на год</t>
  </si>
  <si>
    <t>Ост денег</t>
  </si>
  <si>
    <t>июнь</t>
  </si>
  <si>
    <t>июль</t>
  </si>
  <si>
    <t>август</t>
  </si>
  <si>
    <t>сентябрь</t>
  </si>
  <si>
    <t>октябрь</t>
  </si>
  <si>
    <t>ноябрь</t>
  </si>
  <si>
    <t>Итого за 6 мес.</t>
  </si>
  <si>
    <t>Бюджет          за 6 мес.</t>
  </si>
  <si>
    <t>Недобор(-) Перевыполн.(+)</t>
  </si>
  <si>
    <t xml:space="preserve"> 01.06.16</t>
  </si>
  <si>
    <t>декабрь</t>
  </si>
  <si>
    <t>январь</t>
  </si>
  <si>
    <t>февраль</t>
  </si>
  <si>
    <t>март</t>
  </si>
  <si>
    <t>апрель</t>
  </si>
  <si>
    <t>май</t>
  </si>
  <si>
    <t>Поступл. ден ср. от сбора член. взнос.</t>
  </si>
  <si>
    <t>ЦФ вступит.  взнос новых членов</t>
  </si>
  <si>
    <t>ЦФ взнос на содерж. дор. (опл.въезда)</t>
  </si>
  <si>
    <t>Пени за несв. уплату член взн.+ штраф</t>
  </si>
  <si>
    <t>Коммерч деят. +договора на обслуж.</t>
  </si>
  <si>
    <t xml:space="preserve">      ИТОГО ВЗНОСЫ И ДОХОДЫ</t>
  </si>
  <si>
    <t>Статьи расходования денежных средств</t>
  </si>
  <si>
    <t>Экономия(+)    Перерасход(-)</t>
  </si>
  <si>
    <t>Общехозяйственные расходы</t>
  </si>
  <si>
    <t>Программное обеспечение</t>
  </si>
  <si>
    <t>Услуги связи</t>
  </si>
  <si>
    <t>Юридические услуги</t>
  </si>
  <si>
    <t>Заработная плата    (15 человек)</t>
  </si>
  <si>
    <t>Премиальный фонд</t>
  </si>
  <si>
    <t>Налог с ФОТ</t>
  </si>
  <si>
    <t>Приобрет. инструмент, инвент.,оборуд</t>
  </si>
  <si>
    <t>Вывоз мусора</t>
  </si>
  <si>
    <t>Содержание охраны</t>
  </si>
  <si>
    <t>Содержание газового оборудования</t>
  </si>
  <si>
    <t>Содержание сетей водоснабжения</t>
  </si>
  <si>
    <t>Содерж. сетей канализ. и ремонт ОС</t>
  </si>
  <si>
    <t>Содержание сетей электроснабжения</t>
  </si>
  <si>
    <t>Э/энергия на общие нужды</t>
  </si>
  <si>
    <t>Технические и коммерческие потери</t>
  </si>
  <si>
    <t>Содержание дорог и уборка территор.</t>
  </si>
  <si>
    <t>Благоустройство территории</t>
  </si>
  <si>
    <t>Оформление земель общего польз.</t>
  </si>
  <si>
    <t>Резервный фонд 5%</t>
  </si>
  <si>
    <t xml:space="preserve">     ИТОГО РАСХОДЫ</t>
  </si>
  <si>
    <t>КОММЕНТАРИИ к статьям с перерасходом:</t>
  </si>
  <si>
    <t>ВЫВОЗ МУСОРА:</t>
  </si>
  <si>
    <t>Перерасход в июле связан с уплатой налога на негативное возд. на окруж среду за 2 кв. в сумме 80610 руб. и запретом на вывоз мусора в лес</t>
  </si>
  <si>
    <t>Финансовый год:</t>
  </si>
  <si>
    <t>Руб.</t>
  </si>
  <si>
    <t>Лимит на месяц</t>
  </si>
  <si>
    <t>Остаток на начало периода</t>
  </si>
  <si>
    <t>Поступл. ден ср. от сбора ЧВ</t>
  </si>
  <si>
    <t>ИТОГО ВЗНОСЫ И ДОХОДЫ</t>
  </si>
  <si>
    <t>ИТОГО С ВХОДЯЩИМ ОСТАТКОМ</t>
  </si>
  <si>
    <t xml:space="preserve">Заработная плата </t>
  </si>
  <si>
    <t>Электроснабжение</t>
  </si>
  <si>
    <t xml:space="preserve"> </t>
  </si>
  <si>
    <t>Фонд поощрения ПП</t>
  </si>
  <si>
    <t>Социальн. налоги с Фонда поощр. ПП</t>
  </si>
  <si>
    <t>ИТОГО РАСХОДЫ НА СОДЕРЖАНИЕ ТСН:</t>
  </si>
  <si>
    <t>РАСХОДЫ НА РАЗВИТИЕ ТСН, в том числе:</t>
  </si>
  <si>
    <t>Ремонт водопровода</t>
  </si>
  <si>
    <t>Лицензирование скважин</t>
  </si>
  <si>
    <t>Финансовый план ДНТ "КП"Согласие" на 2016-2017 гг</t>
  </si>
  <si>
    <t xml:space="preserve">Исполнение финансового плана за период с июня 2016 по май  2017 года </t>
  </si>
  <si>
    <t xml:space="preserve">  Статья поступления денежных средств</t>
  </si>
  <si>
    <t>Бюджет на 2016/2017 гг.Лимит на</t>
  </si>
  <si>
    <t xml:space="preserve">Месячный </t>
  </si>
  <si>
    <t>Фактически</t>
  </si>
  <si>
    <t xml:space="preserve">итого с </t>
  </si>
  <si>
    <t>бюджет</t>
  </si>
  <si>
    <t>Поступление денеж средств от сбора член взноса</t>
  </si>
  <si>
    <t>ЦФ вступительный  взнос новых членов</t>
  </si>
  <si>
    <t>ЦФ Взнос на содержание дорог (оплата въезда)</t>
  </si>
  <si>
    <t>ЦФ взнос на реконструкцию газопровода</t>
  </si>
  <si>
    <t>Пени за несвоевр уплату член взносов+ штраф</t>
  </si>
  <si>
    <t>Коммерч деятельн +договора на обслуживание</t>
  </si>
  <si>
    <t xml:space="preserve">      ИТОГО</t>
  </si>
  <si>
    <t xml:space="preserve">   Расходная часть финансового плана по статьям (использование член взносов)</t>
  </si>
  <si>
    <t>экономия</t>
  </si>
  <si>
    <t>Приобретение инструмент, инвентарь,оборуд</t>
  </si>
  <si>
    <t>Содержание сетей канализ. и рем.очист. сооруж.</t>
  </si>
  <si>
    <t>Резерв оборот ср-в на покрытие несвоеврем опл</t>
  </si>
  <si>
    <t>Содержание дорог и уборка территории</t>
  </si>
  <si>
    <t>Оформление земель общего пользования</t>
  </si>
  <si>
    <t xml:space="preserve"> ИТОГО РАСХОДЫ</t>
  </si>
  <si>
    <t>ИТОГО</t>
  </si>
  <si>
    <t>АУПС</t>
  </si>
  <si>
    <t>Личн. а/транспорт</t>
  </si>
  <si>
    <t xml:space="preserve">Обслуж банка </t>
  </si>
  <si>
    <t>Бензин Аи-92</t>
  </si>
  <si>
    <t>Бензин Аи-95</t>
  </si>
  <si>
    <t>Вода питьевая</t>
  </si>
  <si>
    <t>Канцтовары</t>
  </si>
  <si>
    <t>Почтовые отправления</t>
  </si>
  <si>
    <t>Обновление 1С</t>
  </si>
  <si>
    <t>Сайт</t>
  </si>
  <si>
    <t>СБИС отчетность</t>
  </si>
  <si>
    <t>Интернет</t>
  </si>
  <si>
    <t>МТС</t>
  </si>
  <si>
    <t>Мегафон</t>
  </si>
  <si>
    <t>Заработная плата</t>
  </si>
  <si>
    <t>Заработная плата, отпускные</t>
  </si>
  <si>
    <t>Выплата премий сотрудникам</t>
  </si>
  <si>
    <t>Налоги в   ПФР, ФСС ФФОМС</t>
  </si>
  <si>
    <t>Пени, штрафы</t>
  </si>
  <si>
    <t>мусор</t>
  </si>
  <si>
    <t>ветки</t>
  </si>
  <si>
    <t>Содержание сетей канализации</t>
  </si>
  <si>
    <t>Электроэнергия на общие нужды</t>
  </si>
  <si>
    <t>Возмещение затрат на эл.эн.</t>
  </si>
  <si>
    <t xml:space="preserve">Благоустройство территории </t>
  </si>
  <si>
    <t>Резервный фонд</t>
  </si>
  <si>
    <t>рег.оператор</t>
  </si>
  <si>
    <t>УСН</t>
  </si>
  <si>
    <t>водный налог</t>
  </si>
  <si>
    <t>Дизель</t>
  </si>
  <si>
    <t>анализ воды</t>
  </si>
  <si>
    <t>Яндекс-диск</t>
  </si>
  <si>
    <t>2023-2024гг.</t>
  </si>
  <si>
    <t>Главный бухгалтер</t>
  </si>
  <si>
    <t>Водоподготовка</t>
  </si>
  <si>
    <t>Реконструкция дет.площадки д/малышей</t>
  </si>
  <si>
    <t>Объявления о приеме на работу</t>
  </si>
  <si>
    <t>перчатки</t>
  </si>
  <si>
    <t>С2 ан.сточных вод 50%</t>
  </si>
  <si>
    <t>черенок</t>
  </si>
  <si>
    <t>мешки д/мусора</t>
  </si>
  <si>
    <t>рукав пожарный</t>
  </si>
  <si>
    <t>Объявления, пропуска, инф.таблички</t>
  </si>
  <si>
    <t>Начальный взнос за подключение</t>
  </si>
  <si>
    <t>подшипник</t>
  </si>
  <si>
    <t>Транспортный налог</t>
  </si>
  <si>
    <t>ндфл</t>
  </si>
  <si>
    <t>на начало</t>
  </si>
  <si>
    <t>на конец</t>
  </si>
  <si>
    <t>ТЕРМИНАЛ</t>
  </si>
  <si>
    <t>71сч. п/отчет</t>
  </si>
  <si>
    <t>хоз.товары</t>
  </si>
  <si>
    <t>муфта</t>
  </si>
  <si>
    <t>шиномонтаж</t>
  </si>
  <si>
    <t>ОСТАТОК денежных средств на конец расчетного периода</t>
  </si>
  <si>
    <t>Возврат денежных средств с п/о</t>
  </si>
  <si>
    <t>Возврат денежных средств прочий</t>
  </si>
  <si>
    <t>Оформление земли, кадастровые работы</t>
  </si>
  <si>
    <t>БАНК 51 сч.</t>
  </si>
  <si>
    <t>приход</t>
  </si>
  <si>
    <t>расход</t>
  </si>
  <si>
    <t>Откачка МТК (биотуалетов)</t>
  </si>
  <si>
    <t>пож. Инвентарь</t>
  </si>
  <si>
    <t>юр.услуги</t>
  </si>
  <si>
    <t>госпошлина за ТО тракторов</t>
  </si>
  <si>
    <t>замки навесные, проушина</t>
  </si>
  <si>
    <t>тепловая пушка</t>
  </si>
  <si>
    <t>картриджи д/воды</t>
  </si>
  <si>
    <t>замок, радиатор, роутер, кабель, коннектор</t>
  </si>
  <si>
    <t>провод пвс</t>
  </si>
  <si>
    <t>вилы</t>
  </si>
  <si>
    <t>баллончик газовый</t>
  </si>
  <si>
    <t>хомуты, сверло</t>
  </si>
  <si>
    <t>выписка из егрн</t>
  </si>
  <si>
    <t>светоотр.наклейки</t>
  </si>
  <si>
    <t>распечатка проекта водоснабжения</t>
  </si>
  <si>
    <t>водонагреватель с подводкой</t>
  </si>
  <si>
    <t>хомуты д/пож рукавов</t>
  </si>
  <si>
    <t>WD-40</t>
  </si>
  <si>
    <t>уплотнитель д/дверей</t>
  </si>
  <si>
    <t>рейка, саморезы</t>
  </si>
  <si>
    <t>ответная планка замка</t>
  </si>
  <si>
    <t>краска, растворитель</t>
  </si>
  <si>
    <t>пленка</t>
  </si>
  <si>
    <t>лопата-движок</t>
  </si>
  <si>
    <t>вилка</t>
  </si>
  <si>
    <t>Баланс платежной системы</t>
  </si>
  <si>
    <t>Поступл. оплаты за въезд, пропуска</t>
  </si>
  <si>
    <t>Содержание канализации</t>
  </si>
  <si>
    <t>Содержание спецавтотехники, автотранспорта</t>
  </si>
  <si>
    <t>Асфальтирование дорог</t>
  </si>
  <si>
    <t>Обустройство новой скважины и коммуникаций водоподготовки</t>
  </si>
  <si>
    <t>Реконструкция канализации офисного здания</t>
  </si>
  <si>
    <t>Реконструкция канализации на ул. Соловьиная</t>
  </si>
  <si>
    <t>Реконструкция поселковой ливневки на ул. Полевая</t>
  </si>
  <si>
    <t>х</t>
  </si>
  <si>
    <t>Илосос</t>
  </si>
  <si>
    <t>счетчики хол.воды</t>
  </si>
  <si>
    <t>пневмозаглушка</t>
  </si>
  <si>
    <t>Ремонт окон в здании администрации</t>
  </si>
  <si>
    <t>Аварийное устранение засора</t>
  </si>
  <si>
    <t>уголь каменный в мешках</t>
  </si>
  <si>
    <t>Мет.сетка</t>
  </si>
  <si>
    <t>штраф Ларгус</t>
  </si>
  <si>
    <t>замок врезной</t>
  </si>
  <si>
    <t>доводчик дверной</t>
  </si>
  <si>
    <t>Содержание спецавтотранспорта</t>
  </si>
  <si>
    <t>бачок омывателя, фонарь</t>
  </si>
  <si>
    <t>диск по мет, движок, замок, перчатки</t>
  </si>
  <si>
    <t>рукав напорный</t>
  </si>
  <si>
    <t>незамерзайка</t>
  </si>
  <si>
    <t>картридж д/воды</t>
  </si>
  <si>
    <t>прокладка, фланец</t>
  </si>
  <si>
    <t>светильник</t>
  </si>
  <si>
    <t>лампа</t>
  </si>
  <si>
    <t>Поступление оплаты по коммерч. дог. , РСК, % по депозитам</t>
  </si>
  <si>
    <t>Окончательная оплата за щит управления насосами</t>
  </si>
  <si>
    <t>видеонаблюдение</t>
  </si>
  <si>
    <t>Нотариус</t>
  </si>
  <si>
    <t>шестерни</t>
  </si>
  <si>
    <t>50% гидрологическое иссл.водоема</t>
  </si>
  <si>
    <t>перчатки, газ баллон</t>
  </si>
  <si>
    <t>лопата снеговая</t>
  </si>
  <si>
    <t>проушина д/замка</t>
  </si>
  <si>
    <t>зеркало дорожное</t>
  </si>
  <si>
    <t>пружина дверная</t>
  </si>
  <si>
    <t>светодиодн. Лампа</t>
  </si>
  <si>
    <t>патрон</t>
  </si>
  <si>
    <t>коробка, провода, фотореле</t>
  </si>
  <si>
    <t>коробка, зажим</t>
  </si>
  <si>
    <t>зачистка проводов</t>
  </si>
  <si>
    <t>прожектор</t>
  </si>
  <si>
    <t>кнопка, изолента</t>
  </si>
  <si>
    <t>прокладки паронитовые</t>
  </si>
  <si>
    <t>ключ разводной, перчатки</t>
  </si>
  <si>
    <t>песок кварцевый</t>
  </si>
  <si>
    <t>мешки д/строит.мусора</t>
  </si>
  <si>
    <t>клемник</t>
  </si>
  <si>
    <t>колодка, вилка, провод</t>
  </si>
  <si>
    <t>канистра 20л</t>
  </si>
  <si>
    <t>масло</t>
  </si>
  <si>
    <t>смазка, подшипник</t>
  </si>
  <si>
    <t>вихревая воздуходувка</t>
  </si>
  <si>
    <t>стабилизатор</t>
  </si>
  <si>
    <t>Стропа крепления груза</t>
  </si>
  <si>
    <t>Согласие</t>
  </si>
  <si>
    <t>50*50%</t>
  </si>
  <si>
    <t>госпошлина</t>
  </si>
  <si>
    <t>спецодежда</t>
  </si>
  <si>
    <t>корпус сцепления</t>
  </si>
  <si>
    <t>флаги</t>
  </si>
  <si>
    <t>ремонтные работы</t>
  </si>
  <si>
    <t>пленка д/ламинирования</t>
  </si>
  <si>
    <t>штраф</t>
  </si>
  <si>
    <t>лопата совковая</t>
  </si>
  <si>
    <t>доставка ж/б колец</t>
  </si>
  <si>
    <t>скотч</t>
  </si>
  <si>
    <t>замок висячий</t>
  </si>
  <si>
    <t>цепь сварная</t>
  </si>
  <si>
    <t>автомат</t>
  </si>
  <si>
    <t>сверло, бур, диск</t>
  </si>
  <si>
    <t>кабель, гофра</t>
  </si>
  <si>
    <t>светодиодные светильники</t>
  </si>
  <si>
    <t>насос д/перекачки топлива</t>
  </si>
  <si>
    <t>электроды</t>
  </si>
  <si>
    <t>болт, гайка, шайба</t>
  </si>
  <si>
    <t>швеллер, трубы</t>
  </si>
  <si>
    <t>резина листовая</t>
  </si>
  <si>
    <t>сгон</t>
  </si>
  <si>
    <t>пакля, герметик, кран</t>
  </si>
  <si>
    <t>ОСАГО</t>
  </si>
  <si>
    <t>Компенсация затрат по ОС</t>
  </si>
  <si>
    <t>природоохранная документация</t>
  </si>
  <si>
    <t>з/ч и ремонт трактора</t>
  </si>
  <si>
    <t>Замена блока питания</t>
  </si>
  <si>
    <t>спецоценка условий труда</t>
  </si>
  <si>
    <t>металл</t>
  </si>
  <si>
    <t>таль</t>
  </si>
  <si>
    <t>кадастровые работы</t>
  </si>
  <si>
    <t>щебень гравийный</t>
  </si>
  <si>
    <t>камера</t>
  </si>
  <si>
    <t>круг отрезной</t>
  </si>
  <si>
    <t>блок питания шлагбаум</t>
  </si>
  <si>
    <t>обратный клапан</t>
  </si>
  <si>
    <t>мастика</t>
  </si>
  <si>
    <t>петля повор.</t>
  </si>
  <si>
    <t>сверла, саморезы</t>
  </si>
  <si>
    <t>ключ сувальный</t>
  </si>
  <si>
    <t>контактор, реле</t>
  </si>
  <si>
    <t>удлинн. Силовой</t>
  </si>
  <si>
    <t>дин.рейка, авт.выкл.</t>
  </si>
  <si>
    <t>конвектор</t>
  </si>
  <si>
    <t>шетки ларгус</t>
  </si>
  <si>
    <t>стеклоомыватель</t>
  </si>
  <si>
    <t>бур</t>
  </si>
  <si>
    <t>термостат</t>
  </si>
  <si>
    <t>зубило</t>
  </si>
  <si>
    <t>угольник, секатор</t>
  </si>
  <si>
    <t>перчатки, диски</t>
  </si>
  <si>
    <t>обучение электрика</t>
  </si>
  <si>
    <t>мешок</t>
  </si>
  <si>
    <t>экскаватор</t>
  </si>
  <si>
    <t>ЗДАНИЕ</t>
  </si>
  <si>
    <t>Завеса тепловая</t>
  </si>
  <si>
    <t>Рольставни</t>
  </si>
  <si>
    <t>с/материалы</t>
  </si>
  <si>
    <t>насос дренажный</t>
  </si>
  <si>
    <t>песок, щебень</t>
  </si>
  <si>
    <t>ремонт подпорной стены</t>
  </si>
  <si>
    <t>преобразователь частоты</t>
  </si>
  <si>
    <t>электромагнитный клапан</t>
  </si>
  <si>
    <t>наладка преобразователя</t>
  </si>
  <si>
    <t>эцв клапан</t>
  </si>
  <si>
    <t>шпильки, гайки, шайбы</t>
  </si>
  <si>
    <t>перчатки рез</t>
  </si>
  <si>
    <t>костюм</t>
  </si>
  <si>
    <t>хомуты обжимные</t>
  </si>
  <si>
    <t>гофра</t>
  </si>
  <si>
    <t>клипса</t>
  </si>
  <si>
    <t>изолента</t>
  </si>
  <si>
    <t>крестовина</t>
  </si>
  <si>
    <t>анкерный болт</t>
  </si>
  <si>
    <t>эмаль белая</t>
  </si>
  <si>
    <t>кран, переходник, …</t>
  </si>
  <si>
    <t>датчик давления воды</t>
  </si>
  <si>
    <t>электроды, сверла, лом</t>
  </si>
  <si>
    <t>сверло ступенчатое</t>
  </si>
  <si>
    <t>полоса</t>
  </si>
  <si>
    <t>сверло, проушина, замок</t>
  </si>
  <si>
    <t>диск отрезной</t>
  </si>
  <si>
    <t>кабель-канал</t>
  </si>
  <si>
    <t>парковка</t>
  </si>
  <si>
    <t>ударная дрель</t>
  </si>
  <si>
    <t>тиски слесарные</t>
  </si>
  <si>
    <t>эл.товары</t>
  </si>
  <si>
    <t>кнопка звонка</t>
  </si>
  <si>
    <t>реле</t>
  </si>
  <si>
    <t>кабель ВВг</t>
  </si>
  <si>
    <t>кабель-канал, наконечник-гильза</t>
  </si>
  <si>
    <t>Пакеты</t>
  </si>
  <si>
    <t>битум строительный</t>
  </si>
  <si>
    <t>пожарный инвентарь</t>
  </si>
  <si>
    <t>леска д/триммера</t>
  </si>
  <si>
    <t>батарейки</t>
  </si>
  <si>
    <t>очки, диск, нож изолир.</t>
  </si>
  <si>
    <t>провод, коробка распр., хомуты</t>
  </si>
  <si>
    <t>шурупы, дюбель</t>
  </si>
  <si>
    <t>кабель-канал, дюбель</t>
  </si>
  <si>
    <t>маска защитная</t>
  </si>
  <si>
    <t>масло д/триммеров</t>
  </si>
  <si>
    <t>катушка д/триммера</t>
  </si>
  <si>
    <t>доставка обратных клапанов</t>
  </si>
  <si>
    <t>сальник</t>
  </si>
  <si>
    <t>муфта пвх</t>
  </si>
  <si>
    <t>шланг, штуцер, адаптер</t>
  </si>
  <si>
    <t>грунт-эмаль</t>
  </si>
  <si>
    <t>рулетка, клещи</t>
  </si>
  <si>
    <t>панели д/крыльца</t>
  </si>
  <si>
    <t>диск, затирка</t>
  </si>
  <si>
    <t>веревка</t>
  </si>
  <si>
    <t>уголок</t>
  </si>
  <si>
    <t>электроды, киянка, маркер</t>
  </si>
  <si>
    <t>лампа с/диодная</t>
  </si>
  <si>
    <t>съемник подшипника</t>
  </si>
  <si>
    <t>автокран</t>
  </si>
  <si>
    <t>финоценка газопровода</t>
  </si>
  <si>
    <t>газонокосилка</t>
  </si>
  <si>
    <t>фотоэлементы д/шлагбаума</t>
  </si>
  <si>
    <t>труба б/шовная</t>
  </si>
  <si>
    <t>подводка, смеситель</t>
  </si>
  <si>
    <t>перчатки, газ баллон, краги, газ. Горелка, отвертка, маска сварщика</t>
  </si>
  <si>
    <t>брусок, саморезы</t>
  </si>
  <si>
    <t>биты</t>
  </si>
  <si>
    <t>муфты, картриджи</t>
  </si>
  <si>
    <t>болты, гайки</t>
  </si>
  <si>
    <t>гидропломба</t>
  </si>
  <si>
    <t>перчатки, замок</t>
  </si>
  <si>
    <t>ведра пласт.. Замок</t>
  </si>
  <si>
    <t>замок в дверь</t>
  </si>
  <si>
    <t>светодиодный светильник</t>
  </si>
  <si>
    <t>хомут</t>
  </si>
  <si>
    <t>свечи ларгус</t>
  </si>
  <si>
    <t>грунт</t>
  </si>
  <si>
    <t>песок мытый</t>
  </si>
  <si>
    <t>экспертиза здания администрации</t>
  </si>
  <si>
    <t>ОФД д/кассы</t>
  </si>
  <si>
    <t>з/ч д/ Ларгуса</t>
  </si>
  <si>
    <t>ТО Ларгуса</t>
  </si>
  <si>
    <t>эколог.отчетность за 2023г.</t>
  </si>
  <si>
    <t>монтаж погружного насоса</t>
  </si>
  <si>
    <t>материалы для ограждения д/площадки</t>
  </si>
  <si>
    <t>баллон газовый</t>
  </si>
  <si>
    <t>газ пропан</t>
  </si>
  <si>
    <t>цепь д/пилы, щетка по мет.</t>
  </si>
  <si>
    <t>перчатки, шланг, ведро</t>
  </si>
  <si>
    <t>флиппер на ЗИЛ</t>
  </si>
  <si>
    <t>шипомонтаж ЗИЛ</t>
  </si>
  <si>
    <t>картридж</t>
  </si>
  <si>
    <t>кромка мебельная</t>
  </si>
  <si>
    <t>мышка</t>
  </si>
  <si>
    <t>диски, саморезы, проушина, петля</t>
  </si>
  <si>
    <t>засов д/ворот</t>
  </si>
  <si>
    <t>сверло, валик, кисть</t>
  </si>
  <si>
    <t>краска, линолиум</t>
  </si>
  <si>
    <t>шлифмашинка</t>
  </si>
  <si>
    <t>мешки белые</t>
  </si>
  <si>
    <t>дисковая пила</t>
  </si>
  <si>
    <t>цепь</t>
  </si>
  <si>
    <t>фотореле</t>
  </si>
  <si>
    <t>Подключение Кроновой ул. Ясеневая</t>
  </si>
  <si>
    <t>Лестница</t>
  </si>
  <si>
    <t>Авария на Тенистой</t>
  </si>
  <si>
    <t>Хол.асфальт, битум</t>
  </si>
  <si>
    <t>запчасти</t>
  </si>
  <si>
    <t>Экскаватор</t>
  </si>
  <si>
    <t>предоставление сведений из ЕГРН</t>
  </si>
  <si>
    <t>краска, кисть</t>
  </si>
  <si>
    <t>батарейки, болт, брус, сверло</t>
  </si>
  <si>
    <t>люк дачный</t>
  </si>
  <si>
    <t>колесо д/генератора</t>
  </si>
  <si>
    <t>подшипник д/колеса</t>
  </si>
  <si>
    <t>стенд д/регулировки и диагностики дизельных форсунок</t>
  </si>
  <si>
    <t>мегаометр</t>
  </si>
  <si>
    <t>светодиодная лампа</t>
  </si>
  <si>
    <t>плавкая вставка</t>
  </si>
  <si>
    <t>тройник, кран шаровый, фум лента</t>
  </si>
  <si>
    <t>ключи, отвертки</t>
  </si>
  <si>
    <t>рулетка</t>
  </si>
  <si>
    <t>провод, выключатель, кабель</t>
  </si>
  <si>
    <t>лампы</t>
  </si>
  <si>
    <t>зажим прокалывающий</t>
  </si>
  <si>
    <t>проливка швов</t>
  </si>
  <si>
    <t>контейнер д/строительного мусора ул. Полевая</t>
  </si>
  <si>
    <t>ОСАГО трактор</t>
  </si>
  <si>
    <t>Ростелеком</t>
  </si>
  <si>
    <t>защитные рукавицы</t>
  </si>
  <si>
    <t>ККТ</t>
  </si>
  <si>
    <t>запчасти ЗИЛ</t>
  </si>
  <si>
    <t>карабины, зажимы</t>
  </si>
  <si>
    <t>перчатки, электроды, мешки</t>
  </si>
  <si>
    <t>скотч, сигн.лента, ключи</t>
  </si>
  <si>
    <t>розетки, хомуты</t>
  </si>
  <si>
    <t>выключатель</t>
  </si>
  <si>
    <t>монтажная пена</t>
  </si>
  <si>
    <t>утеплитель д/труб</t>
  </si>
  <si>
    <t>саморезы</t>
  </si>
  <si>
    <t>трос нерж.</t>
  </si>
  <si>
    <t>спираль д/прочистки</t>
  </si>
  <si>
    <t>пресс гидравл.</t>
  </si>
  <si>
    <t>плоскогубцы</t>
  </si>
  <si>
    <t>ремонт компьютера</t>
  </si>
  <si>
    <t>газ.балл., диски отрезные, очки защ., кольца</t>
  </si>
  <si>
    <t>картридж д/принтера</t>
  </si>
  <si>
    <t>ленолиум, плинтус</t>
  </si>
  <si>
    <t>провод, вилки, розетки</t>
  </si>
  <si>
    <t>вставка, клипсы д/гофры</t>
  </si>
  <si>
    <t>лампы светодиодные</t>
  </si>
  <si>
    <t>розетка, автомат, термоусадка, провод</t>
  </si>
  <si>
    <t>тест-зажим</t>
  </si>
  <si>
    <t>рем.комплекты</t>
  </si>
  <si>
    <t>коврики, аккумулятор</t>
  </si>
  <si>
    <t>герметик-прокладка</t>
  </si>
  <si>
    <t>Исполнение финансового плана ТСН "КП "Согласие" за ноябрь 2023 - октябрь 2024</t>
  </si>
  <si>
    <t>Защитные рукавицы</t>
  </si>
  <si>
    <t>50% покупка трубы С2</t>
  </si>
  <si>
    <t>устранение засора</t>
  </si>
  <si>
    <t>противогололедные реагенты</t>
  </si>
  <si>
    <t>люк чугунный</t>
  </si>
  <si>
    <t>ПЭ пленка</t>
  </si>
  <si>
    <t>пена монтажная</t>
  </si>
  <si>
    <t>гидроизоляция, герметик, саморезы, лента 2х стор.</t>
  </si>
  <si>
    <t>саморезы, лезвия д/ножа</t>
  </si>
  <si>
    <t>перчатки, скотч</t>
  </si>
  <si>
    <t>свечи, провода</t>
  </si>
  <si>
    <t>новогодние гирлянды</t>
  </si>
  <si>
    <t>календари на 2025г.</t>
  </si>
  <si>
    <t>Фильтр д/воды</t>
  </si>
  <si>
    <t>цветы</t>
  </si>
  <si>
    <t>перчатки, кисти, бюгель</t>
  </si>
  <si>
    <t>Эмаль алкидная</t>
  </si>
  <si>
    <t>смеситель, подводка, картридж, кран шаровый</t>
  </si>
  <si>
    <t>Смеситель д/умывальника</t>
  </si>
  <si>
    <t>Зажимы</t>
  </si>
  <si>
    <t>изоляция, скобы, степлер, шланг, очиститель пены</t>
  </si>
  <si>
    <t>пистолет д/пены</t>
  </si>
  <si>
    <t>регулятор хх</t>
  </si>
  <si>
    <t>лента под ворота</t>
  </si>
  <si>
    <t>дизельная тепловая пушка</t>
  </si>
  <si>
    <t>гофра ал.. Хомут черв.</t>
  </si>
  <si>
    <t>хомут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</si>
</sst>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6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sz val="11"/>
      <color indexed="64"/>
      <name val="Calibri"/>
      <family val="2"/>
      <charset val="204"/>
    </font>
    <font>
      <b/>
      <sz val="11"/>
      <color indexed="64"/>
      <name val="Calibri"/>
      <family val="2"/>
      <charset val="204"/>
    </font>
    <font>
      <b/>
      <sz val="14"/>
      <color indexed="64"/>
      <name val="Arial"/>
      <family val="2"/>
      <charset val="204"/>
    </font>
    <font>
      <b/>
      <sz val="11"/>
      <color indexed="64"/>
      <name val="Arial"/>
      <family val="2"/>
      <charset val="204"/>
    </font>
    <font>
      <b/>
      <sz val="12"/>
      <color indexed="64"/>
      <name val="Arial"/>
      <family val="2"/>
      <charset val="204"/>
    </font>
    <font>
      <b/>
      <sz val="12"/>
      <color indexed="64"/>
      <name val="Calibri"/>
      <family val="2"/>
      <charset val="204"/>
    </font>
    <font>
      <b/>
      <i/>
      <sz val="14"/>
      <color indexed="64"/>
      <name val="Calibri"/>
      <family val="2"/>
      <charset val="204"/>
    </font>
    <font>
      <sz val="12"/>
      <color indexed="64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i/>
      <sz val="12"/>
      <color indexed="64"/>
      <name val="Calibri"/>
      <family val="2"/>
      <charset val="204"/>
    </font>
    <font>
      <sz val="11"/>
      <color indexed="64"/>
      <name val="Arial"/>
      <family val="2"/>
      <charset val="204"/>
    </font>
    <font>
      <b/>
      <i/>
      <sz val="10"/>
      <color indexed="64"/>
      <name val="Arial"/>
      <family val="2"/>
      <charset val="204"/>
    </font>
    <font>
      <b/>
      <i/>
      <sz val="10"/>
      <color indexed="64"/>
      <name val="Calibri"/>
      <family val="2"/>
      <charset val="204"/>
    </font>
    <font>
      <sz val="11"/>
      <name val="Calibri"/>
      <family val="2"/>
      <charset val="204"/>
    </font>
    <font>
      <sz val="8"/>
      <name val="Calibri"/>
      <family val="2"/>
      <charset val="204"/>
    </font>
    <font>
      <b/>
      <sz val="11"/>
      <name val="Calibri"/>
      <family val="2"/>
      <charset val="204"/>
    </font>
    <font>
      <b/>
      <i/>
      <sz val="12"/>
      <color indexed="64"/>
      <name val="Calibri"/>
      <family val="2"/>
      <charset val="204"/>
    </font>
    <font>
      <b/>
      <i/>
      <sz val="11"/>
      <color indexed="64"/>
      <name val="Calibri"/>
      <family val="2"/>
      <charset val="204"/>
    </font>
    <font>
      <i/>
      <sz val="11"/>
      <color indexed="64"/>
      <name val="Calibri"/>
      <family val="2"/>
      <charset val="204"/>
    </font>
    <font>
      <b/>
      <i/>
      <sz val="11"/>
      <color indexed="17"/>
      <name val="Calibri"/>
      <family val="2"/>
      <charset val="204"/>
    </font>
    <font>
      <b/>
      <sz val="10"/>
      <name val="Arial Cyr"/>
    </font>
    <font>
      <sz val="10"/>
      <color indexed="2"/>
      <name val="Arial Cyr"/>
    </font>
    <font>
      <b/>
      <sz val="14"/>
      <color indexed="64"/>
      <name val="Calibri"/>
      <family val="2"/>
      <charset val="204"/>
    </font>
    <font>
      <sz val="11"/>
      <name val="Calibri"/>
      <family val="2"/>
      <charset val="204"/>
    </font>
    <font>
      <b/>
      <sz val="12"/>
      <color rgb="FFFF0000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0"/>
      <name val="Calibri"/>
      <family val="2"/>
      <charset val="204"/>
    </font>
    <font>
      <sz val="11"/>
      <color indexed="55"/>
      <name val="Calibri"/>
      <family val="2"/>
      <charset val="204"/>
    </font>
    <font>
      <sz val="12"/>
      <name val="Calibri"/>
      <family val="2"/>
      <charset val="204"/>
    </font>
    <font>
      <sz val="12"/>
      <color indexed="55"/>
      <name val="Calibri"/>
      <family val="2"/>
      <charset val="204"/>
    </font>
    <font>
      <sz val="12"/>
      <color theme="0" tint="-0.249977111117893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indexed="64"/>
      <name val="Calibri"/>
      <family val="2"/>
      <charset val="204"/>
    </font>
    <font>
      <b/>
      <sz val="12"/>
      <color rgb="FFCC0099"/>
      <name val="Calibri"/>
      <family val="2"/>
      <charset val="204"/>
    </font>
    <font>
      <b/>
      <i/>
      <sz val="14"/>
      <color indexed="64"/>
      <name val="Calibri"/>
      <family val="2"/>
      <charset val="204"/>
    </font>
    <font>
      <b/>
      <sz val="11"/>
      <color indexed="64"/>
      <name val="Calibri"/>
      <family val="2"/>
      <charset val="204"/>
    </font>
    <font>
      <sz val="12"/>
      <color indexed="64"/>
      <name val="Calibri"/>
      <family val="2"/>
      <charset val="204"/>
    </font>
    <font>
      <sz val="11"/>
      <color theme="0" tint="-0.249977111117893"/>
      <name val="Calibri"/>
      <family val="2"/>
      <charset val="204"/>
    </font>
    <font>
      <i/>
      <sz val="12"/>
      <color indexed="64"/>
      <name val="Calibri"/>
      <family val="2"/>
      <charset val="204"/>
    </font>
    <font>
      <b/>
      <u/>
      <sz val="12"/>
      <name val="Calibri"/>
      <family val="2"/>
      <charset val="204"/>
    </font>
    <font>
      <b/>
      <u val="singleAccounting"/>
      <sz val="12"/>
      <name val="Calibri"/>
      <family val="2"/>
      <charset val="204"/>
    </font>
    <font>
      <b/>
      <i/>
      <u/>
      <sz val="18"/>
      <color indexed="64"/>
      <name val="Calibri"/>
      <family val="2"/>
      <charset val="204"/>
    </font>
    <font>
      <b/>
      <sz val="12"/>
      <color theme="0" tint="-0.499984740745262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 Cyr"/>
      <charset val="204"/>
    </font>
    <font>
      <sz val="10"/>
      <color rgb="FFFF0000"/>
      <name val="Arial Cy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u val="singleAccounting"/>
      <sz val="12"/>
      <color rgb="FFFF0000"/>
      <name val="Calibri"/>
      <family val="2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45"/>
        <bgColor indexed="45"/>
      </patternFill>
    </fill>
    <fill>
      <patternFill patternType="solid">
        <fgColor indexed="65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6"/>
        <bgColor indexed="46"/>
      </patternFill>
    </fill>
    <fill>
      <patternFill patternType="solid">
        <fgColor indexed="42"/>
        <bgColor indexed="42"/>
      </patternFill>
    </fill>
    <fill>
      <patternFill patternType="solid">
        <fgColor indexed="3"/>
        <bgColor indexed="3"/>
      </patternFill>
    </fill>
    <fill>
      <patternFill patternType="solid">
        <fgColor indexed="47"/>
        <bgColor indexed="47"/>
      </patternFill>
    </fill>
    <fill>
      <patternFill patternType="solid">
        <fgColor indexed="43"/>
        <bgColor indexed="43"/>
      </patternFill>
    </fill>
    <fill>
      <patternFill patternType="solid">
        <fgColor indexed="5"/>
        <bgColor indexed="5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42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6" fillId="0" borderId="0"/>
    <xf numFmtId="43" fontId="7" fillId="0" borderId="0" applyFont="0" applyFill="0" applyBorder="0" applyProtection="0"/>
  </cellStyleXfs>
  <cellXfs count="420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/>
    <xf numFmtId="0" fontId="8" fillId="0" borderId="3" xfId="0" applyFont="1" applyBorder="1" applyAlignment="1">
      <alignment horizontal="center" vertical="center"/>
    </xf>
    <xf numFmtId="0" fontId="0" fillId="3" borderId="3" xfId="0" applyFill="1" applyBorder="1"/>
    <xf numFmtId="0" fontId="0" fillId="0" borderId="4" xfId="0" applyBorder="1"/>
    <xf numFmtId="0" fontId="0" fillId="0" borderId="1" xfId="0" applyBorder="1"/>
    <xf numFmtId="0" fontId="0" fillId="0" borderId="5" xfId="0" applyBorder="1"/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14" fillId="0" borderId="6" xfId="0" applyFont="1" applyBorder="1"/>
    <xf numFmtId="0" fontId="14" fillId="0" borderId="7" xfId="0" applyFont="1" applyBorder="1"/>
    <xf numFmtId="3" fontId="12" fillId="4" borderId="8" xfId="0" applyNumberFormat="1" applyFont="1" applyFill="1" applyBorder="1" applyAlignment="1">
      <alignment horizontal="center"/>
    </xf>
    <xf numFmtId="3" fontId="12" fillId="5" borderId="8" xfId="0" applyNumberFormat="1" applyFont="1" applyFill="1" applyBorder="1" applyAlignment="1">
      <alignment horizontal="center"/>
    </xf>
    <xf numFmtId="3" fontId="14" fillId="2" borderId="8" xfId="0" applyNumberFormat="1" applyFont="1" applyFill="1" applyBorder="1"/>
    <xf numFmtId="3" fontId="14" fillId="2" borderId="8" xfId="0" applyNumberFormat="1" applyFont="1" applyFill="1" applyBorder="1" applyAlignment="1">
      <alignment horizontal="center"/>
    </xf>
    <xf numFmtId="3" fontId="14" fillId="2" borderId="8" xfId="0" applyNumberFormat="1" applyFont="1" applyFill="1" applyBorder="1" applyAlignment="1">
      <alignment horizontal="center" vertical="center"/>
    </xf>
    <xf numFmtId="3" fontId="14" fillId="6" borderId="8" xfId="0" applyNumberFormat="1" applyFont="1" applyFill="1" applyBorder="1" applyAlignment="1">
      <alignment horizontal="center" vertical="center"/>
    </xf>
    <xf numFmtId="3" fontId="14" fillId="0" borderId="8" xfId="0" applyNumberFormat="1" applyFont="1" applyBorder="1"/>
    <xf numFmtId="3" fontId="15" fillId="3" borderId="8" xfId="0" applyNumberFormat="1" applyFont="1" applyFill="1" applyBorder="1"/>
    <xf numFmtId="3" fontId="12" fillId="0" borderId="8" xfId="0" applyNumberFormat="1" applyFont="1" applyBorder="1" applyAlignment="1">
      <alignment horizontal="center"/>
    </xf>
    <xf numFmtId="3" fontId="12" fillId="0" borderId="4" xfId="0" applyNumberFormat="1" applyFont="1" applyBorder="1" applyAlignment="1">
      <alignment horizontal="center"/>
    </xf>
    <xf numFmtId="3" fontId="12" fillId="7" borderId="8" xfId="0" applyNumberFormat="1" applyFont="1" applyFill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8" xfId="0" applyFont="1" applyBorder="1"/>
    <xf numFmtId="0" fontId="14" fillId="0" borderId="8" xfId="0" applyFont="1" applyBorder="1" applyAlignment="1">
      <alignment horizontal="center" vertical="center"/>
    </xf>
    <xf numFmtId="0" fontId="15" fillId="3" borderId="8" xfId="0" applyFont="1" applyFill="1" applyBorder="1"/>
    <xf numFmtId="0" fontId="12" fillId="7" borderId="9" xfId="0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/>
    </xf>
    <xf numFmtId="1" fontId="12" fillId="5" borderId="8" xfId="0" applyNumberFormat="1" applyFont="1" applyFill="1" applyBorder="1" applyAlignment="1">
      <alignment horizontal="center"/>
    </xf>
    <xf numFmtId="3" fontId="14" fillId="0" borderId="8" xfId="0" applyNumberFormat="1" applyFont="1" applyBorder="1" applyAlignment="1">
      <alignment horizontal="center"/>
    </xf>
    <xf numFmtId="3" fontId="14" fillId="0" borderId="8" xfId="0" applyNumberFormat="1" applyFont="1" applyBorder="1" applyAlignment="1">
      <alignment horizontal="center" vertical="center"/>
    </xf>
    <xf numFmtId="0" fontId="12" fillId="7" borderId="8" xfId="0" applyFont="1" applyFill="1" applyBorder="1" applyAlignment="1">
      <alignment horizontal="center"/>
    </xf>
    <xf numFmtId="0" fontId="14" fillId="0" borderId="10" xfId="0" applyFont="1" applyBorder="1"/>
    <xf numFmtId="0" fontId="14" fillId="0" borderId="11" xfId="0" applyFont="1" applyBorder="1"/>
    <xf numFmtId="0" fontId="14" fillId="0" borderId="12" xfId="0" applyFont="1" applyBorder="1"/>
    <xf numFmtId="0" fontId="14" fillId="0" borderId="10" xfId="0" applyFont="1" applyBorder="1" applyAlignment="1">
      <alignment horizontal="center"/>
    </xf>
    <xf numFmtId="3" fontId="14" fillId="2" borderId="10" xfId="0" applyNumberFormat="1" applyFont="1" applyFill="1" applyBorder="1" applyAlignment="1">
      <alignment horizontal="center"/>
    </xf>
    <xf numFmtId="0" fontId="14" fillId="2" borderId="10" xfId="0" applyFont="1" applyFill="1" applyBorder="1" applyAlignment="1">
      <alignment horizontal="center"/>
    </xf>
    <xf numFmtId="0" fontId="14" fillId="2" borderId="10" xfId="0" applyFont="1" applyFill="1" applyBorder="1"/>
    <xf numFmtId="0" fontId="14" fillId="2" borderId="10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3" fontId="14" fillId="0" borderId="10" xfId="0" applyNumberFormat="1" applyFont="1" applyBorder="1"/>
    <xf numFmtId="0" fontId="15" fillId="3" borderId="10" xfId="0" applyFont="1" applyFill="1" applyBorder="1"/>
    <xf numFmtId="3" fontId="12" fillId="0" borderId="10" xfId="0" applyNumberFormat="1" applyFont="1" applyBorder="1" applyAlignment="1">
      <alignment horizontal="center"/>
    </xf>
    <xf numFmtId="3" fontId="12" fillId="0" borderId="11" xfId="0" applyNumberFormat="1" applyFont="1" applyBorder="1" applyAlignment="1">
      <alignment horizontal="center"/>
    </xf>
    <xf numFmtId="3" fontId="12" fillId="7" borderId="10" xfId="0" applyNumberFormat="1" applyFont="1" applyFill="1" applyBorder="1" applyAlignment="1">
      <alignment horizontal="center"/>
    </xf>
    <xf numFmtId="3" fontId="12" fillId="4" borderId="5" xfId="0" applyNumberFormat="1" applyFont="1" applyFill="1" applyBorder="1" applyAlignment="1">
      <alignment horizontal="center"/>
    </xf>
    <xf numFmtId="3" fontId="12" fillId="5" borderId="5" xfId="0" applyNumberFormat="1" applyFont="1" applyFill="1" applyBorder="1" applyAlignment="1">
      <alignment horizontal="center"/>
    </xf>
    <xf numFmtId="3" fontId="12" fillId="0" borderId="5" xfId="0" applyNumberFormat="1" applyFont="1" applyBorder="1"/>
    <xf numFmtId="3" fontId="12" fillId="2" borderId="5" xfId="0" applyNumberFormat="1" applyFont="1" applyFill="1" applyBorder="1" applyAlignment="1">
      <alignment horizontal="center"/>
    </xf>
    <xf numFmtId="3" fontId="14" fillId="0" borderId="5" xfId="0" applyNumberFormat="1" applyFont="1" applyBorder="1"/>
    <xf numFmtId="3" fontId="15" fillId="3" borderId="5" xfId="0" applyNumberFormat="1" applyFont="1" applyFill="1" applyBorder="1"/>
    <xf numFmtId="3" fontId="12" fillId="0" borderId="5" xfId="0" applyNumberFormat="1" applyFont="1" applyBorder="1" applyAlignment="1">
      <alignment horizontal="center"/>
    </xf>
    <xf numFmtId="3" fontId="12" fillId="7" borderId="5" xfId="0" applyNumberFormat="1" applyFont="1" applyFill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7" xfId="0" applyFont="1" applyBorder="1"/>
    <xf numFmtId="0" fontId="12" fillId="0" borderId="7" xfId="0" applyFont="1" applyBorder="1" applyAlignment="1">
      <alignment horizontal="center" vertical="center"/>
    </xf>
    <xf numFmtId="0" fontId="16" fillId="3" borderId="7" xfId="0" applyFont="1" applyFill="1" applyBorder="1"/>
    <xf numFmtId="0" fontId="12" fillId="0" borderId="8" xfId="0" applyFont="1" applyBorder="1" applyAlignment="1">
      <alignment horizontal="center"/>
    </xf>
    <xf numFmtId="0" fontId="17" fillId="3" borderId="8" xfId="0" applyFont="1" applyFill="1" applyBorder="1" applyAlignment="1">
      <alignment horizontal="center"/>
    </xf>
    <xf numFmtId="0" fontId="12" fillId="8" borderId="13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3" fontId="14" fillId="9" borderId="8" xfId="0" applyNumberFormat="1" applyFont="1" applyFill="1" applyBorder="1" applyAlignment="1">
      <alignment horizontal="center"/>
    </xf>
    <xf numFmtId="3" fontId="12" fillId="8" borderId="8" xfId="0" applyNumberFormat="1" applyFont="1" applyFill="1" applyBorder="1" applyAlignment="1">
      <alignment horizontal="center"/>
    </xf>
    <xf numFmtId="0" fontId="14" fillId="0" borderId="5" xfId="0" applyFont="1" applyBorder="1"/>
    <xf numFmtId="3" fontId="14" fillId="9" borderId="5" xfId="0" applyNumberFormat="1" applyFont="1" applyFill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1" xfId="0" applyBorder="1"/>
    <xf numFmtId="0" fontId="0" fillId="0" borderId="12" xfId="0" applyBorder="1"/>
    <xf numFmtId="3" fontId="12" fillId="4" borderId="10" xfId="0" applyNumberFormat="1" applyFont="1" applyFill="1" applyBorder="1" applyAlignment="1">
      <alignment horizontal="center"/>
    </xf>
    <xf numFmtId="3" fontId="12" fillId="5" borderId="10" xfId="0" applyNumberFormat="1" applyFont="1" applyFill="1" applyBorder="1" applyAlignment="1">
      <alignment horizontal="center"/>
    </xf>
    <xf numFmtId="3" fontId="14" fillId="9" borderId="10" xfId="0" applyNumberFormat="1" applyFont="1" applyFill="1" applyBorder="1" applyAlignment="1">
      <alignment horizontal="center"/>
    </xf>
    <xf numFmtId="3" fontId="15" fillId="3" borderId="10" xfId="0" applyNumberFormat="1" applyFont="1" applyFill="1" applyBorder="1"/>
    <xf numFmtId="3" fontId="12" fillId="8" borderId="10" xfId="0" applyNumberFormat="1" applyFont="1" applyFill="1" applyBorder="1" applyAlignment="1">
      <alignment horizontal="center"/>
    </xf>
    <xf numFmtId="0" fontId="8" fillId="0" borderId="0" xfId="0" applyFont="1"/>
    <xf numFmtId="3" fontId="12" fillId="9" borderId="5" xfId="0" applyNumberFormat="1" applyFont="1" applyFill="1" applyBorder="1" applyAlignment="1">
      <alignment horizontal="center"/>
    </xf>
    <xf numFmtId="3" fontId="12" fillId="9" borderId="5" xfId="0" applyNumberFormat="1" applyFont="1" applyFill="1" applyBorder="1"/>
    <xf numFmtId="3" fontId="12" fillId="10" borderId="5" xfId="0" applyNumberFormat="1" applyFont="1" applyFill="1" applyBorder="1" applyAlignment="1">
      <alignment horizontal="center" vertical="center"/>
    </xf>
    <xf numFmtId="3" fontId="12" fillId="8" borderId="15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11" borderId="16" xfId="0" applyFont="1" applyFill="1" applyBorder="1"/>
    <xf numFmtId="0" fontId="18" fillId="11" borderId="17" xfId="0" applyFont="1" applyFill="1" applyBorder="1" applyAlignment="1">
      <alignment horizontal="center"/>
    </xf>
    <xf numFmtId="0" fontId="18" fillId="0" borderId="0" xfId="0" applyFont="1"/>
    <xf numFmtId="0" fontId="0" fillId="0" borderId="0" xfId="0" applyAlignment="1">
      <alignment wrapText="1"/>
    </xf>
    <xf numFmtId="164" fontId="0" fillId="0" borderId="0" xfId="2" applyNumberFormat="1" applyFont="1" applyAlignment="1">
      <alignment horizontal="center"/>
    </xf>
    <xf numFmtId="164" fontId="0" fillId="0" borderId="0" xfId="2" applyNumberFormat="1" applyFont="1"/>
    <xf numFmtId="0" fontId="8" fillId="0" borderId="16" xfId="0" applyFont="1" applyBorder="1"/>
    <xf numFmtId="0" fontId="8" fillId="0" borderId="7" xfId="0" applyFont="1" applyBorder="1"/>
    <xf numFmtId="0" fontId="0" fillId="0" borderId="16" xfId="0" applyBorder="1"/>
    <xf numFmtId="0" fontId="24" fillId="0" borderId="16" xfId="0" applyFont="1" applyBorder="1"/>
    <xf numFmtId="0" fontId="8" fillId="0" borderId="2" xfId="0" applyFont="1" applyBorder="1"/>
    <xf numFmtId="0" fontId="8" fillId="0" borderId="3" xfId="0" applyFont="1" applyBorder="1"/>
    <xf numFmtId="0" fontId="8" fillId="0" borderId="5" xfId="0" applyFont="1" applyBorder="1"/>
    <xf numFmtId="0" fontId="25" fillId="0" borderId="5" xfId="0" applyFont="1" applyBorder="1" applyAlignment="1">
      <alignment horizontal="center"/>
    </xf>
    <xf numFmtId="0" fontId="0" fillId="3" borderId="5" xfId="0" applyFill="1" applyBorder="1"/>
    <xf numFmtId="3" fontId="8" fillId="10" borderId="8" xfId="0" applyNumberFormat="1" applyFont="1" applyFill="1" applyBorder="1"/>
    <xf numFmtId="3" fontId="0" fillId="10" borderId="8" xfId="0" applyNumberFormat="1" applyFill="1" applyBorder="1"/>
    <xf numFmtId="3" fontId="0" fillId="0" borderId="8" xfId="0" applyNumberFormat="1" applyBorder="1"/>
    <xf numFmtId="3" fontId="21" fillId="3" borderId="8" xfId="0" applyNumberFormat="1" applyFont="1" applyFill="1" applyBorder="1"/>
    <xf numFmtId="3" fontId="8" fillId="0" borderId="8" xfId="0" applyNumberFormat="1" applyFont="1" applyBorder="1"/>
    <xf numFmtId="3" fontId="8" fillId="0" borderId="0" xfId="0" applyNumberFormat="1" applyFont="1"/>
    <xf numFmtId="0" fontId="0" fillId="0" borderId="8" xfId="0" applyBorder="1"/>
    <xf numFmtId="0" fontId="21" fillId="3" borderId="8" xfId="0" applyFont="1" applyFill="1" applyBorder="1"/>
    <xf numFmtId="3" fontId="23" fillId="0" borderId="8" xfId="0" applyNumberFormat="1" applyFont="1" applyBorder="1"/>
    <xf numFmtId="0" fontId="12" fillId="0" borderId="0" xfId="0" applyFont="1"/>
    <xf numFmtId="3" fontId="12" fillId="0" borderId="8" xfId="0" applyNumberFormat="1" applyFont="1" applyBorder="1"/>
    <xf numFmtId="3" fontId="12" fillId="10" borderId="8" xfId="0" applyNumberFormat="1" applyFont="1" applyFill="1" applyBorder="1"/>
    <xf numFmtId="0" fontId="23" fillId="3" borderId="7" xfId="0" applyFont="1" applyFill="1" applyBorder="1"/>
    <xf numFmtId="0" fontId="26" fillId="3" borderId="8" xfId="0" applyFont="1" applyFill="1" applyBorder="1"/>
    <xf numFmtId="3" fontId="8" fillId="2" borderId="8" xfId="0" applyNumberFormat="1" applyFont="1" applyFill="1" applyBorder="1"/>
    <xf numFmtId="3" fontId="0" fillId="2" borderId="8" xfId="0" applyNumberFormat="1" applyFill="1" applyBorder="1"/>
    <xf numFmtId="3" fontId="8" fillId="3" borderId="8" xfId="0" applyNumberFormat="1" applyFont="1" applyFill="1" applyBorder="1"/>
    <xf numFmtId="3" fontId="27" fillId="3" borderId="8" xfId="0" applyNumberFormat="1" applyFont="1" applyFill="1" applyBorder="1"/>
    <xf numFmtId="3" fontId="8" fillId="2" borderId="5" xfId="0" applyNumberFormat="1" applyFont="1" applyFill="1" applyBorder="1"/>
    <xf numFmtId="3" fontId="0" fillId="2" borderId="5" xfId="0" applyNumberFormat="1" applyFill="1" applyBorder="1"/>
    <xf numFmtId="3" fontId="0" fillId="0" borderId="5" xfId="0" applyNumberFormat="1" applyBorder="1"/>
    <xf numFmtId="3" fontId="21" fillId="3" borderId="5" xfId="0" applyNumberFormat="1" applyFont="1" applyFill="1" applyBorder="1"/>
    <xf numFmtId="3" fontId="27" fillId="3" borderId="5" xfId="0" applyNumberFormat="1" applyFont="1" applyFill="1" applyBorder="1"/>
    <xf numFmtId="3" fontId="0" fillId="13" borderId="8" xfId="0" applyNumberFormat="1" applyFill="1" applyBorder="1"/>
    <xf numFmtId="0" fontId="8" fillId="0" borderId="6" xfId="0" applyFont="1" applyBorder="1"/>
    <xf numFmtId="3" fontId="12" fillId="2" borderId="8" xfId="0" applyNumberFormat="1" applyFont="1" applyFill="1" applyBorder="1"/>
    <xf numFmtId="0" fontId="27" fillId="0" borderId="0" xfId="0" applyFont="1"/>
    <xf numFmtId="0" fontId="28" fillId="0" borderId="1" xfId="1" applyFont="1" applyBorder="1" applyAlignment="1">
      <alignment wrapText="1"/>
    </xf>
    <xf numFmtId="0" fontId="6" fillId="0" borderId="1" xfId="1" applyBorder="1" applyAlignment="1">
      <alignment horizontal="center"/>
    </xf>
    <xf numFmtId="0" fontId="28" fillId="0" borderId="1" xfId="1" applyFont="1" applyBorder="1" applyAlignment="1">
      <alignment horizontal="center"/>
    </xf>
    <xf numFmtId="164" fontId="6" fillId="0" borderId="0" xfId="2" applyNumberFormat="1" applyFont="1" applyAlignment="1">
      <alignment horizontal="center"/>
    </xf>
    <xf numFmtId="0" fontId="6" fillId="0" borderId="0" xfId="1" applyAlignment="1">
      <alignment wrapText="1"/>
    </xf>
    <xf numFmtId="0" fontId="6" fillId="0" borderId="3" xfId="1" applyBorder="1" applyAlignment="1">
      <alignment horizontal="center"/>
    </xf>
    <xf numFmtId="0" fontId="6" fillId="0" borderId="0" xfId="1" applyAlignment="1">
      <alignment horizontal="center"/>
    </xf>
    <xf numFmtId="0" fontId="6" fillId="0" borderId="17" xfId="1" applyBorder="1" applyAlignment="1">
      <alignment horizontal="center"/>
    </xf>
    <xf numFmtId="164" fontId="6" fillId="0" borderId="3" xfId="2" applyNumberFormat="1" applyFont="1" applyBorder="1" applyAlignment="1">
      <alignment horizontal="center"/>
    </xf>
    <xf numFmtId="0" fontId="6" fillId="0" borderId="1" xfId="1" applyBorder="1" applyAlignment="1">
      <alignment wrapText="1"/>
    </xf>
    <xf numFmtId="0" fontId="6" fillId="0" borderId="5" xfId="1" applyBorder="1" applyAlignment="1">
      <alignment horizontal="center"/>
    </xf>
    <xf numFmtId="0" fontId="6" fillId="0" borderId="14" xfId="1" applyBorder="1" applyAlignment="1">
      <alignment horizontal="center"/>
    </xf>
    <xf numFmtId="164" fontId="6" fillId="0" borderId="5" xfId="2" applyNumberFormat="1" applyFont="1" applyBorder="1" applyAlignment="1">
      <alignment horizontal="center"/>
    </xf>
    <xf numFmtId="0" fontId="6" fillId="13" borderId="7" xfId="1" applyFill="1" applyBorder="1" applyAlignment="1">
      <alignment wrapText="1"/>
    </xf>
    <xf numFmtId="0" fontId="6" fillId="0" borderId="8" xfId="1" applyBorder="1" applyAlignment="1">
      <alignment horizontal="center"/>
    </xf>
    <xf numFmtId="0" fontId="6" fillId="0" borderId="7" xfId="1" applyBorder="1" applyAlignment="1">
      <alignment wrapText="1"/>
    </xf>
    <xf numFmtId="2" fontId="6" fillId="0" borderId="1" xfId="1" applyNumberFormat="1" applyBorder="1" applyAlignment="1">
      <alignment wrapText="1"/>
    </xf>
    <xf numFmtId="2" fontId="6" fillId="0" borderId="7" xfId="1" applyNumberFormat="1" applyBorder="1" applyAlignment="1">
      <alignment wrapText="1"/>
    </xf>
    <xf numFmtId="0" fontId="0" fillId="0" borderId="8" xfId="0" applyBorder="1" applyAlignment="1">
      <alignment wrapText="1"/>
    </xf>
    <xf numFmtId="0" fontId="6" fillId="0" borderId="8" xfId="1" applyBorder="1"/>
    <xf numFmtId="3" fontId="28" fillId="8" borderId="5" xfId="1" applyNumberFormat="1" applyFont="1" applyFill="1" applyBorder="1" applyAlignment="1">
      <alignment horizontal="center"/>
    </xf>
    <xf numFmtId="164" fontId="28" fillId="8" borderId="5" xfId="2" applyNumberFormat="1" applyFont="1" applyFill="1" applyBorder="1" applyAlignment="1">
      <alignment horizontal="center"/>
    </xf>
    <xf numFmtId="0" fontId="28" fillId="0" borderId="1" xfId="1" applyFont="1" applyBorder="1"/>
    <xf numFmtId="0" fontId="6" fillId="0" borderId="0" xfId="1"/>
    <xf numFmtId="0" fontId="6" fillId="0" borderId="8" xfId="1" applyBorder="1" applyAlignment="1">
      <alignment vertical="center"/>
    </xf>
    <xf numFmtId="0" fontId="28" fillId="0" borderId="8" xfId="1" applyFont="1" applyBorder="1"/>
    <xf numFmtId="3" fontId="28" fillId="8" borderId="8" xfId="1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6" fillId="0" borderId="1" xfId="1" applyBorder="1"/>
    <xf numFmtId="0" fontId="28" fillId="0" borderId="8" xfId="1" applyFont="1" applyBorder="1" applyAlignment="1">
      <alignment horizontal="left"/>
    </xf>
    <xf numFmtId="0" fontId="28" fillId="0" borderId="3" xfId="1" applyFont="1" applyBorder="1" applyAlignment="1">
      <alignment horizontal="center"/>
    </xf>
    <xf numFmtId="0" fontId="6" fillId="0" borderId="7" xfId="1" applyBorder="1" applyAlignment="1">
      <alignment horizontal="left" vertical="center" wrapText="1"/>
    </xf>
    <xf numFmtId="0" fontId="6" fillId="0" borderId="7" xfId="1" applyBorder="1"/>
    <xf numFmtId="3" fontId="28" fillId="8" borderId="5" xfId="1" applyNumberFormat="1" applyFont="1" applyFill="1" applyBorder="1"/>
    <xf numFmtId="0" fontId="14" fillId="0" borderId="0" xfId="0" applyFont="1"/>
    <xf numFmtId="0" fontId="30" fillId="0" borderId="0" xfId="0" applyFont="1" applyAlignment="1">
      <alignment wrapText="1"/>
    </xf>
    <xf numFmtId="0" fontId="6" fillId="0" borderId="7" xfId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6" fillId="0" borderId="3" xfId="1" applyBorder="1"/>
    <xf numFmtId="0" fontId="6" fillId="0" borderId="17" xfId="1" applyBorder="1"/>
    <xf numFmtId="0" fontId="6" fillId="0" borderId="8" xfId="1" applyBorder="1" applyAlignment="1">
      <alignment horizontal="left"/>
    </xf>
    <xf numFmtId="0" fontId="6" fillId="0" borderId="8" xfId="1" applyBorder="1" applyAlignment="1">
      <alignment horizontal="left" vertical="center" wrapText="1"/>
    </xf>
    <xf numFmtId="0" fontId="6" fillId="0" borderId="17" xfId="1" applyBorder="1" applyAlignment="1">
      <alignment wrapText="1"/>
    </xf>
    <xf numFmtId="0" fontId="6" fillId="0" borderId="8" xfId="1" applyBorder="1" applyAlignment="1">
      <alignment wrapText="1"/>
    </xf>
    <xf numFmtId="0" fontId="6" fillId="0" borderId="2" xfId="1" applyBorder="1"/>
    <xf numFmtId="164" fontId="6" fillId="0" borderId="8" xfId="2" applyNumberFormat="1" applyFont="1" applyBorder="1"/>
    <xf numFmtId="164" fontId="6" fillId="0" borderId="13" xfId="2" applyNumberFormat="1" applyFont="1" applyBorder="1"/>
    <xf numFmtId="164" fontId="6" fillId="0" borderId="5" xfId="2" applyNumberFormat="1" applyFont="1" applyBorder="1"/>
    <xf numFmtId="164" fontId="0" fillId="0" borderId="8" xfId="2" applyNumberFormat="1" applyFont="1" applyBorder="1"/>
    <xf numFmtId="164" fontId="6" fillId="0" borderId="14" xfId="2" applyNumberFormat="1" applyFont="1" applyBorder="1"/>
    <xf numFmtId="164" fontId="6" fillId="0" borderId="0" xfId="2" applyNumberFormat="1" applyFont="1"/>
    <xf numFmtId="164" fontId="6" fillId="0" borderId="3" xfId="2" applyNumberFormat="1" applyFont="1" applyBorder="1"/>
    <xf numFmtId="164" fontId="28" fillId="8" borderId="5" xfId="2" applyNumberFormat="1" applyFont="1" applyFill="1" applyBorder="1"/>
    <xf numFmtId="43" fontId="6" fillId="0" borderId="8" xfId="2" applyFont="1" applyBorder="1"/>
    <xf numFmtId="164" fontId="6" fillId="0" borderId="1" xfId="2" applyNumberFormat="1" applyFont="1" applyBorder="1"/>
    <xf numFmtId="164" fontId="28" fillId="0" borderId="1" xfId="2" applyNumberFormat="1" applyFont="1" applyBorder="1"/>
    <xf numFmtId="164" fontId="6" fillId="0" borderId="17" xfId="2" applyNumberFormat="1" applyFont="1" applyBorder="1"/>
    <xf numFmtId="164" fontId="6" fillId="0" borderId="8" xfId="2" applyNumberFormat="1" applyFont="1" applyFill="1" applyBorder="1"/>
    <xf numFmtId="164" fontId="6" fillId="0" borderId="5" xfId="2" applyNumberFormat="1" applyFont="1" applyFill="1" applyBorder="1"/>
    <xf numFmtId="43" fontId="6" fillId="0" borderId="5" xfId="2" applyFont="1" applyBorder="1"/>
    <xf numFmtId="43" fontId="6" fillId="0" borderId="14" xfId="2" applyFont="1" applyBorder="1"/>
    <xf numFmtId="43" fontId="6" fillId="0" borderId="13" xfId="2" applyFont="1" applyBorder="1"/>
    <xf numFmtId="43" fontId="28" fillId="8" borderId="5" xfId="2" applyFont="1" applyFill="1" applyBorder="1"/>
    <xf numFmtId="43" fontId="28" fillId="0" borderId="5" xfId="2" applyFont="1" applyBorder="1"/>
    <xf numFmtId="164" fontId="29" fillId="0" borderId="8" xfId="2" applyNumberFormat="1" applyFont="1" applyBorder="1"/>
    <xf numFmtId="164" fontId="31" fillId="0" borderId="0" xfId="2" applyNumberFormat="1" applyFont="1" applyAlignment="1">
      <alignment horizontal="center"/>
    </xf>
    <xf numFmtId="43" fontId="6" fillId="0" borderId="0" xfId="2" applyFont="1"/>
    <xf numFmtId="43" fontId="6" fillId="0" borderId="3" xfId="2" applyFont="1" applyBorder="1"/>
    <xf numFmtId="43" fontId="0" fillId="0" borderId="0" xfId="2" applyFont="1"/>
    <xf numFmtId="0" fontId="6" fillId="16" borderId="1" xfId="1" applyFill="1" applyBorder="1"/>
    <xf numFmtId="0" fontId="5" fillId="0" borderId="8" xfId="0" applyFont="1" applyBorder="1"/>
    <xf numFmtId="0" fontId="31" fillId="0" borderId="0" xfId="0" applyFont="1"/>
    <xf numFmtId="164" fontId="31" fillId="0" borderId="0" xfId="2" applyNumberFormat="1" applyFont="1"/>
    <xf numFmtId="0" fontId="36" fillId="0" borderId="0" xfId="0" applyFont="1"/>
    <xf numFmtId="0" fontId="37" fillId="0" borderId="0" xfId="0" applyFont="1"/>
    <xf numFmtId="0" fontId="37" fillId="0" borderId="0" xfId="0" applyFont="1" applyAlignment="1">
      <alignment wrapText="1"/>
    </xf>
    <xf numFmtId="164" fontId="37" fillId="18" borderId="0" xfId="2" applyNumberFormat="1" applyFont="1" applyFill="1"/>
    <xf numFmtId="164" fontId="37" fillId="0" borderId="0" xfId="2" applyNumberFormat="1" applyFont="1"/>
    <xf numFmtId="164" fontId="37" fillId="0" borderId="0" xfId="2" applyNumberFormat="1" applyFont="1" applyAlignment="1">
      <alignment horizontal="center"/>
    </xf>
    <xf numFmtId="0" fontId="38" fillId="0" borderId="0" xfId="0" applyFont="1"/>
    <xf numFmtId="164" fontId="39" fillId="0" borderId="0" xfId="2" applyNumberFormat="1" applyFont="1" applyAlignment="1">
      <alignment horizontal="center"/>
    </xf>
    <xf numFmtId="0" fontId="40" fillId="0" borderId="0" xfId="0" applyFont="1" applyAlignment="1">
      <alignment wrapText="1"/>
    </xf>
    <xf numFmtId="164" fontId="40" fillId="0" borderId="0" xfId="2" applyNumberFormat="1" applyFont="1" applyAlignment="1">
      <alignment horizontal="center"/>
    </xf>
    <xf numFmtId="164" fontId="40" fillId="0" borderId="0" xfId="2" applyNumberFormat="1" applyFont="1"/>
    <xf numFmtId="0" fontId="40" fillId="0" borderId="0" xfId="0" applyFont="1"/>
    <xf numFmtId="0" fontId="41" fillId="0" borderId="0" xfId="0" applyFont="1" applyAlignment="1">
      <alignment wrapText="1"/>
    </xf>
    <xf numFmtId="164" fontId="41" fillId="0" borderId="0" xfId="2" applyNumberFormat="1" applyFont="1" applyFill="1" applyBorder="1" applyAlignment="1">
      <alignment horizontal="center"/>
    </xf>
    <xf numFmtId="164" fontId="33" fillId="0" borderId="0" xfId="2" applyNumberFormat="1" applyFont="1"/>
    <xf numFmtId="0" fontId="33" fillId="0" borderId="0" xfId="0" applyFont="1"/>
    <xf numFmtId="0" fontId="42" fillId="0" borderId="1" xfId="0" applyFont="1" applyBorder="1" applyAlignment="1">
      <alignment vertical="center"/>
    </xf>
    <xf numFmtId="0" fontId="42" fillId="0" borderId="1" xfId="0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164" fontId="33" fillId="0" borderId="0" xfId="2" applyNumberFormat="1" applyFont="1" applyAlignment="1">
      <alignment horizontal="center"/>
    </xf>
    <xf numFmtId="0" fontId="43" fillId="2" borderId="2" xfId="0" applyFont="1" applyFill="1" applyBorder="1" applyAlignment="1">
      <alignment wrapText="1"/>
    </xf>
    <xf numFmtId="0" fontId="33" fillId="0" borderId="4" xfId="0" applyFont="1" applyBorder="1" applyAlignment="1">
      <alignment wrapText="1"/>
    </xf>
    <xf numFmtId="0" fontId="45" fillId="0" borderId="2" xfId="0" applyFont="1" applyBorder="1" applyAlignment="1">
      <alignment wrapText="1"/>
    </xf>
    <xf numFmtId="164" fontId="41" fillId="4" borderId="8" xfId="2" applyNumberFormat="1" applyFont="1" applyFill="1" applyBorder="1" applyAlignment="1">
      <alignment horizontal="center"/>
    </xf>
    <xf numFmtId="164" fontId="33" fillId="0" borderId="5" xfId="2" applyNumberFormat="1" applyFont="1" applyBorder="1" applyAlignment="1">
      <alignment horizontal="center" vertical="center" wrapText="1"/>
    </xf>
    <xf numFmtId="164" fontId="46" fillId="0" borderId="5" xfId="2" applyNumberFormat="1" applyFont="1" applyBorder="1" applyAlignment="1">
      <alignment horizontal="center" vertical="center"/>
    </xf>
    <xf numFmtId="164" fontId="44" fillId="0" borderId="4" xfId="2" applyNumberFormat="1" applyFont="1" applyBorder="1" applyAlignment="1">
      <alignment horizontal="center" vertical="center" wrapText="1"/>
    </xf>
    <xf numFmtId="164" fontId="41" fillId="5" borderId="8" xfId="2" applyNumberFormat="1" applyFont="1" applyFill="1" applyBorder="1" applyAlignment="1">
      <alignment horizontal="center"/>
    </xf>
    <xf numFmtId="164" fontId="45" fillId="2" borderId="8" xfId="2" applyNumberFormat="1" applyFont="1" applyFill="1" applyBorder="1" applyAlignment="1">
      <alignment horizontal="center"/>
    </xf>
    <xf numFmtId="164" fontId="45" fillId="2" borderId="8" xfId="2" applyNumberFormat="1" applyFont="1" applyFill="1" applyBorder="1" applyAlignment="1">
      <alignment horizontal="center" vertical="center"/>
    </xf>
    <xf numFmtId="164" fontId="37" fillId="2" borderId="8" xfId="2" applyNumberFormat="1" applyFont="1" applyFill="1" applyBorder="1" applyAlignment="1">
      <alignment horizontal="center"/>
    </xf>
    <xf numFmtId="164" fontId="41" fillId="0" borderId="8" xfId="2" applyNumberFormat="1" applyFont="1" applyBorder="1" applyAlignment="1">
      <alignment horizontal="center"/>
    </xf>
    <xf numFmtId="164" fontId="41" fillId="0" borderId="4" xfId="2" applyNumberFormat="1" applyFont="1" applyBorder="1" applyAlignment="1">
      <alignment horizontal="center"/>
    </xf>
    <xf numFmtId="164" fontId="41" fillId="7" borderId="8" xfId="2" applyNumberFormat="1" applyFont="1" applyFill="1" applyBorder="1" applyAlignment="1">
      <alignment horizontal="center"/>
    </xf>
    <xf numFmtId="164" fontId="41" fillId="4" borderId="3" xfId="2" applyNumberFormat="1" applyFont="1" applyFill="1" applyBorder="1" applyAlignment="1">
      <alignment horizontal="center"/>
    </xf>
    <xf numFmtId="164" fontId="41" fillId="5" borderId="3" xfId="2" applyNumberFormat="1" applyFont="1" applyFill="1" applyBorder="1" applyAlignment="1">
      <alignment horizontal="center"/>
    </xf>
    <xf numFmtId="164" fontId="41" fillId="0" borderId="21" xfId="2" applyNumberFormat="1" applyFont="1" applyBorder="1" applyAlignment="1">
      <alignment horizontal="center"/>
    </xf>
    <xf numFmtId="0" fontId="45" fillId="0" borderId="8" xfId="0" applyFont="1" applyBorder="1" applyAlignment="1">
      <alignment wrapText="1"/>
    </xf>
    <xf numFmtId="164" fontId="41" fillId="4" borderId="8" xfId="2" applyNumberFormat="1" applyFont="1" applyFill="1" applyBorder="1" applyAlignment="1">
      <alignment horizontal="center" vertical="center"/>
    </xf>
    <xf numFmtId="164" fontId="41" fillId="5" borderId="8" xfId="2" applyNumberFormat="1" applyFont="1" applyFill="1" applyBorder="1" applyAlignment="1">
      <alignment vertical="center"/>
    </xf>
    <xf numFmtId="164" fontId="45" fillId="0" borderId="8" xfId="2" applyNumberFormat="1" applyFont="1" applyBorder="1" applyAlignment="1">
      <alignment horizontal="center" vertical="center"/>
    </xf>
    <xf numFmtId="164" fontId="37" fillId="0" borderId="8" xfId="2" applyNumberFormat="1" applyFont="1" applyBorder="1" applyAlignment="1">
      <alignment vertical="center"/>
    </xf>
    <xf numFmtId="164" fontId="41" fillId="0" borderId="8" xfId="2" applyNumberFormat="1" applyFont="1" applyBorder="1" applyAlignment="1">
      <alignment horizontal="center" vertical="center"/>
    </xf>
    <xf numFmtId="164" fontId="41" fillId="0" borderId="8" xfId="2" applyNumberFormat="1" applyFont="1" applyBorder="1" applyAlignment="1">
      <alignment vertical="center"/>
    </xf>
    <xf numFmtId="0" fontId="35" fillId="0" borderId="8" xfId="1" applyFont="1" applyBorder="1"/>
    <xf numFmtId="164" fontId="33" fillId="0" borderId="8" xfId="2" applyNumberFormat="1" applyFont="1" applyBorder="1" applyAlignment="1">
      <alignment horizontal="center"/>
    </xf>
    <xf numFmtId="43" fontId="35" fillId="0" borderId="8" xfId="2" applyFont="1" applyBorder="1"/>
    <xf numFmtId="0" fontId="35" fillId="16" borderId="12" xfId="1" applyFont="1" applyFill="1" applyBorder="1"/>
    <xf numFmtId="164" fontId="33" fillId="16" borderId="10" xfId="2" applyNumberFormat="1" applyFont="1" applyFill="1" applyBorder="1" applyAlignment="1">
      <alignment horizontal="center"/>
    </xf>
    <xf numFmtId="164" fontId="35" fillId="16" borderId="5" xfId="2" applyNumberFormat="1" applyFont="1" applyFill="1" applyBorder="1"/>
    <xf numFmtId="164" fontId="41" fillId="0" borderId="5" xfId="2" applyNumberFormat="1" applyFont="1" applyBorder="1" applyAlignment="1">
      <alignment horizontal="center"/>
    </xf>
    <xf numFmtId="43" fontId="35" fillId="0" borderId="4" xfId="2" applyFont="1" applyBorder="1"/>
    <xf numFmtId="0" fontId="41" fillId="0" borderId="1" xfId="0" applyFont="1" applyBorder="1" applyAlignment="1">
      <alignment horizontal="left" wrapText="1"/>
    </xf>
    <xf numFmtId="164" fontId="41" fillId="4" borderId="5" xfId="2" applyNumberFormat="1" applyFont="1" applyFill="1" applyBorder="1" applyAlignment="1">
      <alignment horizontal="center"/>
    </xf>
    <xf numFmtId="164" fontId="41" fillId="5" borderId="5" xfId="2" applyNumberFormat="1" applyFont="1" applyFill="1" applyBorder="1" applyAlignment="1">
      <alignment horizontal="center"/>
    </xf>
    <xf numFmtId="164" fontId="41" fillId="2" borderId="15" xfId="2" applyNumberFormat="1" applyFont="1" applyFill="1" applyBorder="1" applyAlignment="1">
      <alignment horizontal="center"/>
    </xf>
    <xf numFmtId="164" fontId="41" fillId="0" borderId="15" xfId="2" applyNumberFormat="1" applyFont="1" applyBorder="1" applyAlignment="1">
      <alignment horizontal="center"/>
    </xf>
    <xf numFmtId="164" fontId="41" fillId="0" borderId="19" xfId="2" applyNumberFormat="1" applyFont="1" applyBorder="1" applyAlignment="1">
      <alignment horizontal="center"/>
    </xf>
    <xf numFmtId="164" fontId="41" fillId="7" borderId="15" xfId="2" applyNumberFormat="1" applyFont="1" applyFill="1" applyBorder="1" applyAlignment="1">
      <alignment horizontal="center"/>
    </xf>
    <xf numFmtId="3" fontId="33" fillId="0" borderId="0" xfId="0" applyNumberFormat="1" applyFont="1"/>
    <xf numFmtId="164" fontId="41" fillId="0" borderId="0" xfId="2" applyNumberFormat="1" applyFont="1" applyAlignment="1">
      <alignment horizontal="center"/>
    </xf>
    <xf numFmtId="0" fontId="43" fillId="9" borderId="8" xfId="0" applyFont="1" applyFill="1" applyBorder="1" applyAlignment="1">
      <alignment wrapText="1"/>
    </xf>
    <xf numFmtId="164" fontId="41" fillId="0" borderId="7" xfId="2" applyNumberFormat="1" applyFont="1" applyBorder="1" applyAlignment="1">
      <alignment horizontal="center"/>
    </xf>
    <xf numFmtId="164" fontId="41" fillId="0" borderId="1" xfId="2" applyNumberFormat="1" applyFont="1" applyBorder="1" applyAlignment="1">
      <alignment horizontal="center"/>
    </xf>
    <xf numFmtId="164" fontId="47" fillId="0" borderId="1" xfId="2" applyNumberFormat="1" applyFont="1" applyBorder="1" applyAlignment="1">
      <alignment horizontal="center"/>
    </xf>
    <xf numFmtId="164" fontId="41" fillId="8" borderId="8" xfId="2" applyNumberFormat="1" applyFont="1" applyFill="1" applyBorder="1" applyAlignment="1">
      <alignment horizontal="center" vertical="center" wrapText="1"/>
    </xf>
    <xf numFmtId="0" fontId="33" fillId="0" borderId="6" xfId="0" applyFont="1" applyBorder="1" applyAlignment="1">
      <alignment wrapText="1"/>
    </xf>
    <xf numFmtId="164" fontId="45" fillId="9" borderId="8" xfId="2" applyNumberFormat="1" applyFont="1" applyFill="1" applyBorder="1" applyAlignment="1">
      <alignment horizontal="center"/>
    </xf>
    <xf numFmtId="164" fontId="41" fillId="8" borderId="8" xfId="2" applyNumberFormat="1" applyFont="1" applyFill="1" applyBorder="1" applyAlignment="1">
      <alignment horizontal="center"/>
    </xf>
    <xf numFmtId="164" fontId="45" fillId="9" borderId="5" xfId="2" applyNumberFormat="1" applyFont="1" applyFill="1" applyBorder="1" applyAlignment="1">
      <alignment horizontal="center"/>
    </xf>
    <xf numFmtId="0" fontId="33" fillId="0" borderId="2" xfId="0" applyFont="1" applyBorder="1" applyAlignment="1">
      <alignment wrapText="1"/>
    </xf>
    <xf numFmtId="164" fontId="45" fillId="9" borderId="3" xfId="2" applyNumberFormat="1" applyFont="1" applyFill="1" applyBorder="1" applyAlignment="1">
      <alignment horizontal="center"/>
    </xf>
    <xf numFmtId="0" fontId="44" fillId="0" borderId="0" xfId="0" applyFont="1"/>
    <xf numFmtId="164" fontId="41" fillId="4" borderId="10" xfId="2" applyNumberFormat="1" applyFont="1" applyFill="1" applyBorder="1" applyAlignment="1">
      <alignment horizontal="center"/>
    </xf>
    <xf numFmtId="164" fontId="41" fillId="5" borderId="10" xfId="2" applyNumberFormat="1" applyFont="1" applyFill="1" applyBorder="1" applyAlignment="1">
      <alignment horizontal="center"/>
    </xf>
    <xf numFmtId="164" fontId="45" fillId="9" borderId="10" xfId="2" applyNumberFormat="1" applyFont="1" applyFill="1" applyBorder="1" applyAlignment="1">
      <alignment horizontal="center"/>
    </xf>
    <xf numFmtId="164" fontId="41" fillId="0" borderId="10" xfId="2" applyNumberFormat="1" applyFont="1" applyBorder="1" applyAlignment="1">
      <alignment horizontal="center"/>
    </xf>
    <xf numFmtId="164" fontId="33" fillId="0" borderId="0" xfId="2" applyNumberFormat="1" applyFont="1" applyBorder="1" applyAlignment="1">
      <alignment horizontal="center"/>
    </xf>
    <xf numFmtId="43" fontId="35" fillId="0" borderId="0" xfId="2" applyFont="1" applyBorder="1"/>
    <xf numFmtId="164" fontId="41" fillId="0" borderId="0" xfId="2" applyNumberFormat="1" applyFont="1" applyBorder="1" applyAlignment="1">
      <alignment horizontal="center"/>
    </xf>
    <xf numFmtId="0" fontId="35" fillId="0" borderId="0" xfId="1" applyFont="1"/>
    <xf numFmtId="164" fontId="40" fillId="17" borderId="0" xfId="2" applyNumberFormat="1" applyFont="1" applyFill="1" applyAlignment="1">
      <alignment horizontal="center"/>
    </xf>
    <xf numFmtId="164" fontId="40" fillId="17" borderId="0" xfId="2" applyNumberFormat="1" applyFont="1" applyFill="1"/>
    <xf numFmtId="164" fontId="40" fillId="18" borderId="0" xfId="2" applyNumberFormat="1" applyFont="1" applyFill="1" applyAlignment="1">
      <alignment horizontal="center"/>
    </xf>
    <xf numFmtId="0" fontId="33" fillId="0" borderId="0" xfId="0" applyFont="1" applyAlignment="1">
      <alignment wrapText="1"/>
    </xf>
    <xf numFmtId="164" fontId="32" fillId="0" borderId="0" xfId="2" applyNumberFormat="1" applyFont="1" applyFill="1" applyBorder="1" applyAlignment="1">
      <alignment horizontal="center"/>
    </xf>
    <xf numFmtId="0" fontId="48" fillId="0" borderId="0" xfId="1" applyFont="1" applyAlignment="1">
      <alignment vertical="center"/>
    </xf>
    <xf numFmtId="164" fontId="33" fillId="0" borderId="0" xfId="2" applyNumberFormat="1" applyFont="1" applyBorder="1" applyAlignment="1">
      <alignment horizontal="center" vertical="center"/>
    </xf>
    <xf numFmtId="164" fontId="49" fillId="0" borderId="0" xfId="2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164" fontId="41" fillId="17" borderId="5" xfId="2" applyNumberFormat="1" applyFont="1" applyFill="1" applyBorder="1" applyAlignment="1">
      <alignment horizontal="center"/>
    </xf>
    <xf numFmtId="0" fontId="41" fillId="0" borderId="0" xfId="0" applyFont="1" applyAlignment="1">
      <alignment horizontal="left" wrapText="1"/>
    </xf>
    <xf numFmtId="164" fontId="41" fillId="0" borderId="8" xfId="2" applyNumberFormat="1" applyFont="1" applyFill="1" applyBorder="1" applyAlignment="1">
      <alignment horizontal="center"/>
    </xf>
    <xf numFmtId="0" fontId="41" fillId="0" borderId="8" xfId="0" applyFont="1" applyBorder="1" applyAlignment="1">
      <alignment wrapText="1"/>
    </xf>
    <xf numFmtId="0" fontId="33" fillId="0" borderId="8" xfId="0" applyFont="1" applyBorder="1" applyAlignment="1">
      <alignment wrapText="1"/>
    </xf>
    <xf numFmtId="0" fontId="41" fillId="17" borderId="1" xfId="0" applyFont="1" applyFill="1" applyBorder="1" applyAlignment="1">
      <alignment horizontal="left" wrapText="1"/>
    </xf>
    <xf numFmtId="0" fontId="33" fillId="0" borderId="11" xfId="0" applyFont="1" applyBorder="1" applyAlignment="1">
      <alignment wrapText="1"/>
    </xf>
    <xf numFmtId="0" fontId="41" fillId="17" borderId="5" xfId="0" applyFont="1" applyFill="1" applyBorder="1" applyAlignment="1">
      <alignment horizontal="left" wrapText="1"/>
    </xf>
    <xf numFmtId="164" fontId="41" fillId="0" borderId="10" xfId="2" applyNumberFormat="1" applyFont="1" applyFill="1" applyBorder="1" applyAlignment="1">
      <alignment horizontal="center"/>
    </xf>
    <xf numFmtId="0" fontId="50" fillId="0" borderId="0" xfId="0" applyFont="1" applyAlignment="1">
      <alignment horizontal="right" wrapText="1"/>
    </xf>
    <xf numFmtId="164" fontId="50" fillId="0" borderId="0" xfId="2" applyNumberFormat="1" applyFont="1"/>
    <xf numFmtId="164" fontId="34" fillId="0" borderId="0" xfId="2" applyNumberFormat="1" applyFont="1"/>
    <xf numFmtId="164" fontId="40" fillId="16" borderId="0" xfId="2" applyNumberFormat="1" applyFont="1" applyFill="1" applyAlignment="1">
      <alignment horizontal="center"/>
    </xf>
    <xf numFmtId="164" fontId="40" fillId="0" borderId="0" xfId="2" applyNumberFormat="1" applyFont="1" applyAlignment="1">
      <alignment horizontal="right"/>
    </xf>
    <xf numFmtId="164" fontId="28" fillId="8" borderId="14" xfId="1" applyNumberFormat="1" applyFont="1" applyFill="1" applyBorder="1"/>
    <xf numFmtId="43" fontId="28" fillId="8" borderId="8" xfId="2" applyFont="1" applyFill="1" applyBorder="1"/>
    <xf numFmtId="164" fontId="51" fillId="0" borderId="1" xfId="2" applyNumberFormat="1" applyFont="1" applyBorder="1" applyAlignment="1">
      <alignment horizontal="center" vertical="center"/>
    </xf>
    <xf numFmtId="164" fontId="6" fillId="16" borderId="17" xfId="2" applyNumberFormat="1" applyFont="1" applyFill="1" applyBorder="1"/>
    <xf numFmtId="0" fontId="6" fillId="16" borderId="8" xfId="1" applyFill="1" applyBorder="1" applyAlignment="1">
      <alignment horizontal="left"/>
    </xf>
    <xf numFmtId="0" fontId="0" fillId="0" borderId="6" xfId="0" applyBorder="1" applyAlignment="1">
      <alignment wrapText="1"/>
    </xf>
    <xf numFmtId="164" fontId="41" fillId="4" borderId="3" xfId="2" applyNumberFormat="1" applyFont="1" applyFill="1" applyBorder="1"/>
    <xf numFmtId="164" fontId="41" fillId="5" borderId="3" xfId="2" applyNumberFormat="1" applyFont="1" applyFill="1" applyBorder="1" applyAlignment="1">
      <alignment vertical="center"/>
    </xf>
    <xf numFmtId="164" fontId="41" fillId="0" borderId="3" xfId="2" applyNumberFormat="1" applyFont="1" applyBorder="1" applyAlignment="1">
      <alignment vertical="center"/>
    </xf>
    <xf numFmtId="164" fontId="44" fillId="0" borderId="8" xfId="2" applyNumberFormat="1" applyFont="1" applyBorder="1" applyAlignment="1">
      <alignment horizontal="center" vertical="center" wrapText="1"/>
    </xf>
    <xf numFmtId="164" fontId="44" fillId="0" borderId="8" xfId="2" applyNumberFormat="1" applyFont="1" applyBorder="1" applyAlignment="1">
      <alignment horizontal="center" vertical="center"/>
    </xf>
    <xf numFmtId="164" fontId="44" fillId="12" borderId="8" xfId="2" applyNumberFormat="1" applyFont="1" applyFill="1" applyBorder="1" applyAlignment="1">
      <alignment horizontal="center" vertical="center" wrapText="1"/>
    </xf>
    <xf numFmtId="164" fontId="6" fillId="0" borderId="8" xfId="2" applyNumberFormat="1" applyFont="1" applyBorder="1" applyAlignment="1">
      <alignment horizontal="center"/>
    </xf>
    <xf numFmtId="2" fontId="6" fillId="0" borderId="8" xfId="1" applyNumberFormat="1" applyBorder="1"/>
    <xf numFmtId="0" fontId="6" fillId="0" borderId="8" xfId="1" applyBorder="1" applyAlignment="1">
      <alignment horizontal="left" wrapText="1"/>
    </xf>
    <xf numFmtId="2" fontId="6" fillId="0" borderId="8" xfId="1" applyNumberFormat="1" applyBorder="1" applyAlignment="1">
      <alignment wrapText="1"/>
    </xf>
    <xf numFmtId="164" fontId="41" fillId="16" borderId="4" xfId="2" applyNumberFormat="1" applyFont="1" applyFill="1" applyBorder="1" applyAlignment="1">
      <alignment horizontal="center"/>
    </xf>
    <xf numFmtId="164" fontId="41" fillId="16" borderId="11" xfId="2" applyNumberFormat="1" applyFont="1" applyFill="1" applyBorder="1" applyAlignment="1">
      <alignment horizontal="center"/>
    </xf>
    <xf numFmtId="164" fontId="41" fillId="16" borderId="10" xfId="2" applyNumberFormat="1" applyFont="1" applyFill="1" applyBorder="1" applyAlignment="1">
      <alignment horizontal="center"/>
    </xf>
    <xf numFmtId="164" fontId="41" fillId="16" borderId="8" xfId="2" applyNumberFormat="1" applyFont="1" applyFill="1" applyBorder="1" applyAlignment="1">
      <alignment horizontal="center"/>
    </xf>
    <xf numFmtId="164" fontId="45" fillId="19" borderId="8" xfId="2" applyNumberFormat="1" applyFont="1" applyFill="1" applyBorder="1" applyAlignment="1">
      <alignment horizontal="center"/>
    </xf>
    <xf numFmtId="164" fontId="45" fillId="19" borderId="5" xfId="2" applyNumberFormat="1" applyFont="1" applyFill="1" applyBorder="1" applyAlignment="1">
      <alignment horizontal="center"/>
    </xf>
    <xf numFmtId="164" fontId="37" fillId="19" borderId="5" xfId="2" applyNumberFormat="1" applyFont="1" applyFill="1" applyBorder="1" applyAlignment="1">
      <alignment horizontal="center"/>
    </xf>
    <xf numFmtId="164" fontId="45" fillId="19" borderId="10" xfId="2" applyNumberFormat="1" applyFont="1" applyFill="1" applyBorder="1" applyAlignment="1">
      <alignment horizontal="center"/>
    </xf>
    <xf numFmtId="164" fontId="6" fillId="20" borderId="8" xfId="2" applyNumberFormat="1" applyFont="1" applyFill="1" applyBorder="1"/>
    <xf numFmtId="164" fontId="6" fillId="20" borderId="13" xfId="2" applyNumberFormat="1" applyFont="1" applyFill="1" applyBorder="1"/>
    <xf numFmtId="164" fontId="6" fillId="20" borderId="5" xfId="2" applyNumberFormat="1" applyFont="1" applyFill="1" applyBorder="1"/>
    <xf numFmtId="164" fontId="6" fillId="20" borderId="14" xfId="2" applyNumberFormat="1" applyFont="1" applyFill="1" applyBorder="1"/>
    <xf numFmtId="0" fontId="52" fillId="0" borderId="1" xfId="1" applyFont="1" applyBorder="1"/>
    <xf numFmtId="0" fontId="52" fillId="0" borderId="1" xfId="1" applyFont="1" applyBorder="1" applyAlignment="1">
      <alignment horizontal="center"/>
    </xf>
    <xf numFmtId="0" fontId="53" fillId="0" borderId="1" xfId="1" applyFont="1" applyBorder="1"/>
    <xf numFmtId="0" fontId="53" fillId="0" borderId="0" xfId="1" applyFont="1"/>
    <xf numFmtId="0" fontId="54" fillId="0" borderId="0" xfId="0" applyFont="1"/>
    <xf numFmtId="0" fontId="53" fillId="0" borderId="17" xfId="1" applyFont="1" applyBorder="1" applyAlignment="1">
      <alignment horizontal="center"/>
    </xf>
    <xf numFmtId="0" fontId="53" fillId="0" borderId="3" xfId="1" applyFont="1" applyBorder="1" applyAlignment="1">
      <alignment horizontal="center"/>
    </xf>
    <xf numFmtId="0" fontId="53" fillId="0" borderId="8" xfId="1" applyFont="1" applyBorder="1" applyAlignment="1">
      <alignment wrapText="1"/>
    </xf>
    <xf numFmtId="164" fontId="54" fillId="0" borderId="8" xfId="2" applyNumberFormat="1" applyFont="1" applyBorder="1"/>
    <xf numFmtId="164" fontId="53" fillId="0" borderId="8" xfId="2" applyNumberFormat="1" applyFont="1" applyBorder="1"/>
    <xf numFmtId="0" fontId="53" fillId="0" borderId="7" xfId="1" applyFont="1" applyBorder="1"/>
    <xf numFmtId="3" fontId="52" fillId="8" borderId="5" xfId="1" applyNumberFormat="1" applyFont="1" applyFill="1" applyBorder="1"/>
    <xf numFmtId="0" fontId="54" fillId="0" borderId="0" xfId="0" applyFont="1" applyAlignment="1">
      <alignment horizontal="center"/>
    </xf>
    <xf numFmtId="3" fontId="54" fillId="0" borderId="0" xfId="0" applyNumberFormat="1" applyFont="1" applyAlignment="1">
      <alignment horizontal="center"/>
    </xf>
    <xf numFmtId="164" fontId="55" fillId="0" borderId="8" xfId="2" applyNumberFormat="1" applyFont="1" applyBorder="1"/>
    <xf numFmtId="164" fontId="6" fillId="0" borderId="5" xfId="2" applyNumberFormat="1" applyFont="1" applyFill="1" applyBorder="1" applyAlignment="1">
      <alignment horizontal="center"/>
    </xf>
    <xf numFmtId="164" fontId="6" fillId="0" borderId="14" xfId="2" applyNumberFormat="1" applyFont="1" applyFill="1" applyBorder="1"/>
    <xf numFmtId="43" fontId="6" fillId="17" borderId="8" xfId="2" applyFont="1" applyFill="1" applyBorder="1"/>
    <xf numFmtId="0" fontId="28" fillId="14" borderId="8" xfId="1" applyFont="1" applyFill="1" applyBorder="1"/>
    <xf numFmtId="0" fontId="6" fillId="0" borderId="7" xfId="1" applyFont="1" applyBorder="1"/>
    <xf numFmtId="0" fontId="53" fillId="16" borderId="7" xfId="1" applyFont="1" applyFill="1" applyBorder="1"/>
    <xf numFmtId="164" fontId="53" fillId="16" borderId="8" xfId="2" applyNumberFormat="1" applyFont="1" applyFill="1" applyBorder="1"/>
    <xf numFmtId="164" fontId="38" fillId="0" borderId="0" xfId="2" applyNumberFormat="1" applyFont="1"/>
    <xf numFmtId="0" fontId="4" fillId="0" borderId="6" xfId="0" applyFont="1" applyBorder="1" applyAlignment="1">
      <alignment wrapText="1"/>
    </xf>
    <xf numFmtId="43" fontId="37" fillId="0" borderId="0" xfId="2" applyNumberFormat="1" applyFont="1"/>
    <xf numFmtId="43" fontId="51" fillId="0" borderId="1" xfId="2" applyNumberFormat="1" applyFont="1" applyBorder="1" applyAlignment="1">
      <alignment horizontal="center" vertical="center"/>
    </xf>
    <xf numFmtId="0" fontId="56" fillId="0" borderId="8" xfId="1" applyFont="1" applyBorder="1"/>
    <xf numFmtId="0" fontId="57" fillId="0" borderId="1" xfId="1" applyFont="1" applyBorder="1"/>
    <xf numFmtId="43" fontId="41" fillId="0" borderId="1" xfId="0" applyNumberFormat="1" applyFont="1" applyBorder="1" applyAlignment="1">
      <alignment vertical="center" wrapText="1"/>
    </xf>
    <xf numFmtId="0" fontId="6" fillId="0" borderId="6" xfId="1" applyBorder="1" applyAlignment="1">
      <alignment wrapText="1"/>
    </xf>
    <xf numFmtId="0" fontId="6" fillId="0" borderId="1" xfId="1" applyFont="1" applyBorder="1"/>
    <xf numFmtId="0" fontId="6" fillId="0" borderId="0" xfId="1" applyBorder="1"/>
    <xf numFmtId="0" fontId="3" fillId="0" borderId="6" xfId="0" applyFont="1" applyBorder="1" applyAlignment="1">
      <alignment wrapText="1"/>
    </xf>
    <xf numFmtId="164" fontId="6" fillId="16" borderId="3" xfId="2" applyNumberFormat="1" applyFont="1" applyFill="1" applyBorder="1"/>
    <xf numFmtId="164" fontId="41" fillId="7" borderId="8" xfId="2" applyNumberFormat="1" applyFont="1" applyFill="1" applyBorder="1" applyAlignment="1">
      <alignment horizontal="center" vertical="center"/>
    </xf>
    <xf numFmtId="43" fontId="31" fillId="0" borderId="0" xfId="2" applyNumberFormat="1" applyFont="1"/>
    <xf numFmtId="0" fontId="2" fillId="0" borderId="8" xfId="0" applyFont="1" applyBorder="1"/>
    <xf numFmtId="164" fontId="15" fillId="18" borderId="0" xfId="2" applyNumberFormat="1" applyFont="1" applyFill="1"/>
    <xf numFmtId="0" fontId="1" fillId="0" borderId="6" xfId="0" applyFont="1" applyBorder="1" applyAlignment="1">
      <alignment wrapText="1"/>
    </xf>
    <xf numFmtId="0" fontId="57" fillId="0" borderId="1" xfId="1" applyFont="1" applyFill="1" applyBorder="1"/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12" borderId="3" xfId="0" applyFont="1" applyFill="1" applyBorder="1" applyAlignment="1">
      <alignment horizontal="center" vertical="center" wrapText="1"/>
    </xf>
    <xf numFmtId="0" fontId="8" fillId="12" borderId="5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0" xfId="0" applyBorder="1" applyAlignment="1">
      <alignment horizontal="left"/>
    </xf>
    <xf numFmtId="0" fontId="13" fillId="9" borderId="7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13" fillId="2" borderId="2" xfId="0" applyFont="1" applyFill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5" xfId="0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8" fillId="11" borderId="4" xfId="0" applyFont="1" applyFill="1" applyBorder="1"/>
    <xf numFmtId="0" fontId="18" fillId="11" borderId="1" xfId="0" applyFont="1" applyFill="1" applyBorder="1"/>
    <xf numFmtId="0" fontId="18" fillId="11" borderId="14" xfId="0" applyFont="1" applyFill="1" applyBorder="1"/>
    <xf numFmtId="0" fontId="19" fillId="15" borderId="2" xfId="0" applyFont="1" applyFill="1" applyBorder="1"/>
    <xf numFmtId="0" fontId="20" fillId="15" borderId="16" xfId="0" applyFont="1" applyFill="1" applyBorder="1"/>
    <xf numFmtId="0" fontId="20" fillId="15" borderId="17" xfId="0" applyFont="1" applyFill="1" applyBorder="1"/>
    <xf numFmtId="0" fontId="18" fillId="15" borderId="4" xfId="0" applyFont="1" applyFill="1" applyBorder="1"/>
    <xf numFmtId="0" fontId="0" fillId="15" borderId="1" xfId="0" applyFill="1" applyBorder="1"/>
    <xf numFmtId="0" fontId="0" fillId="15" borderId="14" xfId="0" applyFill="1" applyBorder="1"/>
    <xf numFmtId="0" fontId="12" fillId="0" borderId="19" xfId="0" applyFont="1" applyBorder="1"/>
    <xf numFmtId="0" fontId="14" fillId="0" borderId="18" xfId="0" applyFont="1" applyBorder="1"/>
    <xf numFmtId="0" fontId="14" fillId="0" borderId="20" xfId="0" applyFont="1" applyBorder="1"/>
    <xf numFmtId="0" fontId="10" fillId="0" borderId="0" xfId="0" applyFont="1"/>
    <xf numFmtId="0" fontId="19" fillId="11" borderId="2" xfId="0" applyFont="1" applyFill="1" applyBorder="1"/>
    <xf numFmtId="0" fontId="19" fillId="11" borderId="16" xfId="0" applyFont="1" applyFill="1" applyBorder="1"/>
    <xf numFmtId="0" fontId="19" fillId="11" borderId="16" xfId="0" applyFont="1" applyFill="1" applyBorder="1" applyAlignment="1">
      <alignment horizontal="center"/>
    </xf>
    <xf numFmtId="164" fontId="37" fillId="16" borderId="0" xfId="2" applyNumberFormat="1" applyFont="1" applyFill="1" applyAlignment="1">
      <alignment horizontal="center" vertical="center"/>
    </xf>
    <xf numFmtId="164" fontId="40" fillId="17" borderId="0" xfId="2" applyNumberFormat="1" applyFont="1" applyFill="1" applyAlignment="1">
      <alignment horizontal="center" vertical="center"/>
    </xf>
    <xf numFmtId="164" fontId="37" fillId="18" borderId="0" xfId="2" applyNumberFormat="1" applyFont="1" applyFill="1" applyAlignment="1">
      <alignment horizontal="center" vertical="center"/>
    </xf>
    <xf numFmtId="0" fontId="8" fillId="0" borderId="3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12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2" fillId="0" borderId="0" xfId="0" applyFont="1"/>
    <xf numFmtId="164" fontId="60" fillId="16" borderId="0" xfId="2" applyNumberFormat="1" applyFont="1" applyFill="1" applyBorder="1" applyAlignment="1">
      <alignment vertical="center"/>
    </xf>
    <xf numFmtId="43" fontId="15" fillId="0" borderId="0" xfId="2" applyNumberFormat="1" applyFont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CC00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workbookViewId="0">
      <selection activeCell="Z20" sqref="Z20:Z21"/>
    </sheetView>
  </sheetViews>
  <sheetFormatPr defaultRowHeight="15" x14ac:dyDescent="0.25"/>
  <cols>
    <col min="4" max="4" width="9.85546875" bestFit="1" customWidth="1"/>
    <col min="5" max="5" width="1" customWidth="1"/>
    <col min="6" max="6" width="12" style="1" customWidth="1"/>
    <col min="7" max="7" width="10.85546875" style="1" customWidth="1"/>
    <col min="8" max="8" width="11.42578125" hidden="1" customWidth="1"/>
    <col min="9" max="9" width="10.42578125" style="1" hidden="1" customWidth="1"/>
    <col min="10" max="11" width="10.85546875" style="1" hidden="1" customWidth="1"/>
    <col min="12" max="12" width="10" hidden="1" customWidth="1"/>
    <col min="13" max="13" width="10.85546875" hidden="1" customWidth="1"/>
    <col min="14" max="14" width="12.5703125" hidden="1" customWidth="1"/>
    <col min="15" max="16" width="0.85546875" hidden="1" customWidth="1"/>
    <col min="17" max="17" width="0.7109375" hidden="1" customWidth="1"/>
    <col min="18" max="20" width="0.85546875" hidden="1" customWidth="1"/>
    <col min="21" max="21" width="11.28515625" style="1" customWidth="1"/>
    <col min="22" max="22" width="12" style="1" customWidth="1"/>
    <col min="23" max="23" width="16.140625" style="1" customWidth="1"/>
  </cols>
  <sheetData>
    <row r="1" spans="1:23" ht="6" customHeight="1" x14ac:dyDescent="0.25"/>
    <row r="2" spans="1:23" ht="21" customHeight="1" x14ac:dyDescent="0.25">
      <c r="A2" s="2"/>
      <c r="B2" s="3"/>
      <c r="C2" s="4"/>
      <c r="D2" s="4"/>
      <c r="E2" s="4"/>
      <c r="F2" s="5"/>
      <c r="G2" s="6" t="s">
        <v>0</v>
      </c>
      <c r="H2" s="6"/>
      <c r="I2" s="6"/>
      <c r="J2" s="6"/>
      <c r="K2" s="6"/>
      <c r="L2" s="6"/>
      <c r="M2" s="7"/>
      <c r="N2" s="8"/>
      <c r="O2" s="8"/>
      <c r="P2" s="8"/>
      <c r="Q2" s="8"/>
      <c r="R2" s="8"/>
      <c r="S2" s="8"/>
      <c r="T2" s="8"/>
      <c r="U2" s="8"/>
    </row>
    <row r="3" spans="1:23" ht="37.5" customHeight="1" x14ac:dyDescent="0.3">
      <c r="A3" s="388" t="s">
        <v>1</v>
      </c>
      <c r="B3" s="389"/>
      <c r="C3" s="389"/>
      <c r="D3" s="389"/>
      <c r="E3" s="390"/>
      <c r="F3" s="379" t="s">
        <v>2</v>
      </c>
      <c r="G3" s="379" t="s">
        <v>2</v>
      </c>
      <c r="H3" s="9" t="s">
        <v>3</v>
      </c>
      <c r="I3" s="392" t="s">
        <v>4</v>
      </c>
      <c r="J3" s="392" t="s">
        <v>5</v>
      </c>
      <c r="K3" s="392" t="s">
        <v>6</v>
      </c>
      <c r="L3" s="392" t="s">
        <v>7</v>
      </c>
      <c r="M3" s="10" t="s">
        <v>8</v>
      </c>
      <c r="N3" s="10" t="s">
        <v>9</v>
      </c>
      <c r="O3" s="9"/>
      <c r="P3" s="9"/>
      <c r="Q3" s="9"/>
      <c r="R3" s="9"/>
      <c r="S3" s="11"/>
      <c r="T3" s="11"/>
      <c r="U3" s="379" t="s">
        <v>10</v>
      </c>
      <c r="V3" s="379" t="s">
        <v>11</v>
      </c>
      <c r="W3" s="381" t="s">
        <v>12</v>
      </c>
    </row>
    <row r="4" spans="1:23" ht="0.75" customHeight="1" x14ac:dyDescent="0.25">
      <c r="A4" s="12"/>
      <c r="B4" s="13"/>
      <c r="C4" s="13"/>
      <c r="D4" s="13"/>
      <c r="E4" s="13"/>
      <c r="F4" s="391"/>
      <c r="G4" s="391"/>
      <c r="H4" s="14" t="s">
        <v>13</v>
      </c>
      <c r="I4" s="393"/>
      <c r="J4" s="393"/>
      <c r="K4" s="393"/>
      <c r="L4" s="393"/>
      <c r="M4" s="15" t="s">
        <v>8</v>
      </c>
      <c r="N4" s="15" t="s">
        <v>9</v>
      </c>
      <c r="O4" s="16" t="s">
        <v>14</v>
      </c>
      <c r="P4" s="16" t="s">
        <v>15</v>
      </c>
      <c r="Q4" s="16" t="s">
        <v>16</v>
      </c>
      <c r="R4" s="16" t="s">
        <v>17</v>
      </c>
      <c r="S4" s="17" t="s">
        <v>18</v>
      </c>
      <c r="T4" s="17" t="s">
        <v>19</v>
      </c>
      <c r="U4" s="391"/>
      <c r="V4" s="380"/>
      <c r="W4" s="382"/>
    </row>
    <row r="5" spans="1:23" ht="15.75" x14ac:dyDescent="0.25">
      <c r="A5" s="18" t="s">
        <v>20</v>
      </c>
      <c r="B5" s="19"/>
      <c r="C5" s="19"/>
      <c r="D5" s="19"/>
      <c r="E5" s="19"/>
      <c r="F5" s="20">
        <v>25090303</v>
      </c>
      <c r="G5" s="21">
        <f>F5/12</f>
        <v>2090858.5833333333</v>
      </c>
      <c r="H5" s="22"/>
      <c r="I5" s="23">
        <v>2150745</v>
      </c>
      <c r="J5" s="23">
        <v>2150245</v>
      </c>
      <c r="K5" s="23">
        <v>1812865</v>
      </c>
      <c r="L5" s="22">
        <v>1921915</v>
      </c>
      <c r="M5" s="24">
        <v>2257168</v>
      </c>
      <c r="N5" s="25">
        <v>1834383</v>
      </c>
      <c r="O5" s="26"/>
      <c r="P5" s="26"/>
      <c r="Q5" s="26"/>
      <c r="R5" s="26"/>
      <c r="S5" s="27"/>
      <c r="T5" s="27"/>
      <c r="U5" s="28">
        <f t="shared" ref="U5:U31" si="0">SUM(I5:T5)</f>
        <v>12127321</v>
      </c>
      <c r="V5" s="29">
        <f>G5*6</f>
        <v>12545151.5</v>
      </c>
      <c r="W5" s="30">
        <f>U5-V5</f>
        <v>-417830.5</v>
      </c>
    </row>
    <row r="6" spans="1:23" ht="15.75" x14ac:dyDescent="0.25">
      <c r="A6" s="18" t="s">
        <v>21</v>
      </c>
      <c r="B6" s="19"/>
      <c r="C6" s="19"/>
      <c r="D6" s="19"/>
      <c r="E6" s="19"/>
      <c r="F6" s="31"/>
      <c r="G6" s="31"/>
      <c r="H6" s="32"/>
      <c r="I6" s="31"/>
      <c r="J6" s="31"/>
      <c r="K6" s="31"/>
      <c r="L6" s="32"/>
      <c r="M6" s="33"/>
      <c r="N6" s="33"/>
      <c r="O6" s="32"/>
      <c r="P6" s="32"/>
      <c r="Q6" s="32"/>
      <c r="R6" s="32"/>
      <c r="S6" s="34"/>
      <c r="T6" s="27"/>
      <c r="U6" s="28">
        <f t="shared" si="0"/>
        <v>0</v>
      </c>
      <c r="V6" s="29"/>
      <c r="W6" s="35"/>
    </row>
    <row r="7" spans="1:23" ht="15.75" x14ac:dyDescent="0.25">
      <c r="A7" s="18" t="s">
        <v>22</v>
      </c>
      <c r="B7" s="19"/>
      <c r="C7" s="19"/>
      <c r="D7" s="19"/>
      <c r="E7" s="19"/>
      <c r="F7" s="36">
        <v>200000</v>
      </c>
      <c r="G7" s="37">
        <f>F7/12</f>
        <v>16666.666666666668</v>
      </c>
      <c r="H7" s="26"/>
      <c r="I7" s="23">
        <f>35940+340</f>
        <v>36280</v>
      </c>
      <c r="J7" s="23">
        <v>58470</v>
      </c>
      <c r="K7" s="23">
        <v>37120</v>
      </c>
      <c r="L7" s="22">
        <v>28150</v>
      </c>
      <c r="M7" s="24">
        <v>55530</v>
      </c>
      <c r="N7" s="25">
        <v>37600</v>
      </c>
      <c r="O7" s="26"/>
      <c r="P7" s="26"/>
      <c r="Q7" s="26"/>
      <c r="R7" s="26"/>
      <c r="S7" s="27"/>
      <c r="T7" s="27"/>
      <c r="U7" s="28">
        <f t="shared" si="0"/>
        <v>253150</v>
      </c>
      <c r="V7" s="29">
        <f>G7*6</f>
        <v>100000</v>
      </c>
      <c r="W7" s="30">
        <f>U7-V7</f>
        <v>153150</v>
      </c>
    </row>
    <row r="8" spans="1:23" ht="15.75" x14ac:dyDescent="0.25">
      <c r="A8" s="18" t="s">
        <v>23</v>
      </c>
      <c r="B8" s="19"/>
      <c r="C8" s="19"/>
      <c r="D8" s="19"/>
      <c r="E8" s="19"/>
      <c r="F8" s="31"/>
      <c r="G8" s="31"/>
      <c r="H8" s="32"/>
      <c r="I8" s="38"/>
      <c r="J8" s="38"/>
      <c r="K8" s="38"/>
      <c r="L8" s="26"/>
      <c r="M8" s="39"/>
      <c r="N8" s="39"/>
      <c r="O8" s="26"/>
      <c r="P8" s="26"/>
      <c r="Q8" s="26"/>
      <c r="R8" s="26"/>
      <c r="S8" s="27"/>
      <c r="T8" s="27"/>
      <c r="U8" s="28">
        <f t="shared" si="0"/>
        <v>0</v>
      </c>
      <c r="V8" s="29"/>
      <c r="W8" s="40"/>
    </row>
    <row r="9" spans="1:23" ht="15.75" x14ac:dyDescent="0.25">
      <c r="A9" s="41" t="s">
        <v>24</v>
      </c>
      <c r="B9" s="42"/>
      <c r="C9" s="43"/>
      <c r="D9" s="43"/>
      <c r="E9" s="43"/>
      <c r="F9" s="44"/>
      <c r="G9" s="44"/>
      <c r="H9" s="41"/>
      <c r="I9" s="45">
        <f>15000+99836+10860+240</f>
        <v>125936</v>
      </c>
      <c r="J9" s="45">
        <v>15240</v>
      </c>
      <c r="K9" s="46">
        <v>15240</v>
      </c>
      <c r="L9" s="47">
        <v>107699</v>
      </c>
      <c r="M9" s="48">
        <v>26100</v>
      </c>
      <c r="N9" s="49">
        <v>15240</v>
      </c>
      <c r="O9" s="41"/>
      <c r="P9" s="41"/>
      <c r="Q9" s="50"/>
      <c r="R9" s="41"/>
      <c r="S9" s="51"/>
      <c r="T9" s="51"/>
      <c r="U9" s="52">
        <f t="shared" si="0"/>
        <v>305455</v>
      </c>
      <c r="V9" s="53">
        <f>G9*5</f>
        <v>0</v>
      </c>
      <c r="W9" s="54">
        <f>U9-V9</f>
        <v>305455</v>
      </c>
    </row>
    <row r="10" spans="1:23" ht="15.75" x14ac:dyDescent="0.25">
      <c r="A10" s="383" t="s">
        <v>25</v>
      </c>
      <c r="B10" s="384"/>
      <c r="C10" s="384"/>
      <c r="D10" s="384"/>
      <c r="E10" s="385"/>
      <c r="F10" s="55">
        <f t="shared" ref="F10:N10" si="1">SUM(F5:F9)</f>
        <v>25290303</v>
      </c>
      <c r="G10" s="56">
        <f t="shared" si="1"/>
        <v>2107525.25</v>
      </c>
      <c r="H10" s="57">
        <f>SUM(H5:H9)</f>
        <v>0</v>
      </c>
      <c r="I10" s="58">
        <f t="shared" si="1"/>
        <v>2312961</v>
      </c>
      <c r="J10" s="58">
        <f t="shared" si="1"/>
        <v>2223955</v>
      </c>
      <c r="K10" s="58">
        <f t="shared" si="1"/>
        <v>1865225</v>
      </c>
      <c r="L10" s="58">
        <f t="shared" si="1"/>
        <v>2057764</v>
      </c>
      <c r="M10" s="58">
        <f t="shared" si="1"/>
        <v>2338798</v>
      </c>
      <c r="N10" s="58">
        <f t="shared" si="1"/>
        <v>1887223</v>
      </c>
      <c r="O10" s="59"/>
      <c r="P10" s="59"/>
      <c r="Q10" s="59"/>
      <c r="R10" s="59"/>
      <c r="S10" s="60"/>
      <c r="T10" s="60"/>
      <c r="U10" s="61">
        <f>SUM(I10:T10)</f>
        <v>12685926</v>
      </c>
      <c r="V10" s="29">
        <f>G10*6</f>
        <v>12645151.5</v>
      </c>
      <c r="W10" s="62">
        <f>U10-V10</f>
        <v>40774.5</v>
      </c>
    </row>
    <row r="11" spans="1:23" ht="33" customHeight="1" x14ac:dyDescent="0.3">
      <c r="A11" s="386" t="s">
        <v>26</v>
      </c>
      <c r="B11" s="387"/>
      <c r="C11" s="387"/>
      <c r="D11" s="387"/>
      <c r="E11" s="387"/>
      <c r="F11" s="63"/>
      <c r="G11" s="63"/>
      <c r="H11" s="64"/>
      <c r="I11" s="63"/>
      <c r="J11" s="63"/>
      <c r="K11" s="63"/>
      <c r="L11" s="64"/>
      <c r="M11" s="65"/>
      <c r="N11" s="65"/>
      <c r="O11" s="64"/>
      <c r="P11" s="64"/>
      <c r="Q11" s="64"/>
      <c r="R11" s="64"/>
      <c r="S11" s="66"/>
      <c r="T11" s="66"/>
      <c r="U11" s="67"/>
      <c r="V11" s="68"/>
      <c r="W11" s="69" t="s">
        <v>27</v>
      </c>
    </row>
    <row r="12" spans="1:23" ht="15.75" x14ac:dyDescent="0.25">
      <c r="A12" s="70" t="s">
        <v>28</v>
      </c>
      <c r="B12" s="71"/>
      <c r="C12" s="71"/>
      <c r="D12" s="71"/>
      <c r="E12" s="71"/>
      <c r="F12" s="20">
        <v>900000</v>
      </c>
      <c r="G12" s="21">
        <f t="shared" ref="G12:G31" si="2">F12/12</f>
        <v>75000</v>
      </c>
      <c r="H12" s="32"/>
      <c r="I12" s="72" t="e">
        <f>'общехоз расходы'!#REF!</f>
        <v>#REF!</v>
      </c>
      <c r="J12" s="72" t="e">
        <f>'общехоз расходы'!#REF!</f>
        <v>#REF!</v>
      </c>
      <c r="K12" s="72" t="e">
        <f>'общехоз расходы'!#REF!</f>
        <v>#REF!</v>
      </c>
      <c r="L12" s="72" t="e">
        <f>'общехоз расходы'!#REF!</f>
        <v>#REF!</v>
      </c>
      <c r="M12" s="72" t="e">
        <f>'общехоз расходы'!#REF!</f>
        <v>#REF!</v>
      </c>
      <c r="N12" s="72">
        <f>'общехоз расходы'!B85</f>
        <v>0</v>
      </c>
      <c r="O12" s="26"/>
      <c r="P12" s="26"/>
      <c r="Q12" s="26"/>
      <c r="R12" s="26"/>
      <c r="S12" s="27"/>
      <c r="T12" s="27"/>
      <c r="U12" s="28" t="e">
        <f t="shared" si="0"/>
        <v>#REF!</v>
      </c>
      <c r="V12" s="29">
        <f t="shared" ref="V12:V31" si="3">G12*6</f>
        <v>450000</v>
      </c>
      <c r="W12" s="73" t="e">
        <f t="shared" ref="W12:W31" si="4">V12-U12</f>
        <v>#REF!</v>
      </c>
    </row>
    <row r="13" spans="1:23" ht="15.75" x14ac:dyDescent="0.25">
      <c r="A13" s="12" t="s">
        <v>29</v>
      </c>
      <c r="B13" s="13"/>
      <c r="C13" s="13"/>
      <c r="D13" s="13"/>
      <c r="E13" s="13"/>
      <c r="F13" s="55">
        <v>160000</v>
      </c>
      <c r="G13" s="21">
        <f t="shared" si="2"/>
        <v>13333.333333333334</v>
      </c>
      <c r="H13" s="74"/>
      <c r="I13" s="75" t="e">
        <f>'прогр обесп'!#REF!</f>
        <v>#REF!</v>
      </c>
      <c r="J13" s="75" t="e">
        <f>'прогр обесп'!#REF!</f>
        <v>#REF!</v>
      </c>
      <c r="K13" s="75" t="e">
        <f>'прогр обесп'!#REF!</f>
        <v>#REF!</v>
      </c>
      <c r="L13" s="75" t="e">
        <f>'прогр обесп'!#REF!</f>
        <v>#REF!</v>
      </c>
      <c r="M13" s="75" t="e">
        <f>'прогр обесп'!#REF!</f>
        <v>#REF!</v>
      </c>
      <c r="N13" s="75">
        <f>'прогр обесп'!B10</f>
        <v>0</v>
      </c>
      <c r="O13" s="59"/>
      <c r="P13" s="59"/>
      <c r="Q13" s="59"/>
      <c r="R13" s="59"/>
      <c r="S13" s="60"/>
      <c r="T13" s="60"/>
      <c r="U13" s="28" t="e">
        <f t="shared" si="0"/>
        <v>#REF!</v>
      </c>
      <c r="V13" s="29">
        <f t="shared" si="3"/>
        <v>80000</v>
      </c>
      <c r="W13" s="73" t="e">
        <f t="shared" si="4"/>
        <v>#REF!</v>
      </c>
    </row>
    <row r="14" spans="1:23" ht="15.75" x14ac:dyDescent="0.25">
      <c r="A14" s="70" t="s">
        <v>30</v>
      </c>
      <c r="B14" s="71"/>
      <c r="C14" s="71"/>
      <c r="D14" s="71"/>
      <c r="E14" s="76"/>
      <c r="F14" s="20">
        <v>140000</v>
      </c>
      <c r="G14" s="21">
        <f t="shared" si="2"/>
        <v>11666.666666666666</v>
      </c>
      <c r="H14" s="32"/>
      <c r="I14" s="72" t="e">
        <f>связь!#REF!</f>
        <v>#REF!</v>
      </c>
      <c r="J14" s="72" t="e">
        <f>связь!#REF!</f>
        <v>#REF!</v>
      </c>
      <c r="K14" s="72" t="e">
        <f>связь!#REF!</f>
        <v>#REF!</v>
      </c>
      <c r="L14" s="72" t="e">
        <f>связь!#REF!</f>
        <v>#REF!</v>
      </c>
      <c r="M14" s="72" t="e">
        <f>связь!#REF!</f>
        <v>#REF!</v>
      </c>
      <c r="N14" s="72">
        <f>связь!B9</f>
        <v>7200</v>
      </c>
      <c r="O14" s="26"/>
      <c r="P14" s="26"/>
      <c r="Q14" s="26"/>
      <c r="R14" s="26"/>
      <c r="S14" s="27"/>
      <c r="T14" s="27"/>
      <c r="U14" s="28" t="e">
        <f t="shared" si="0"/>
        <v>#REF!</v>
      </c>
      <c r="V14" s="29">
        <f t="shared" si="3"/>
        <v>70000</v>
      </c>
      <c r="W14" s="73" t="e">
        <f t="shared" si="4"/>
        <v>#REF!</v>
      </c>
    </row>
    <row r="15" spans="1:23" ht="15.75" x14ac:dyDescent="0.25">
      <c r="A15" s="12" t="s">
        <v>31</v>
      </c>
      <c r="B15" s="13"/>
      <c r="C15" s="13"/>
      <c r="D15" s="13"/>
      <c r="E15" s="77"/>
      <c r="F15" s="55">
        <v>300000</v>
      </c>
      <c r="G15" s="21">
        <f t="shared" si="2"/>
        <v>25000</v>
      </c>
      <c r="H15" s="74"/>
      <c r="I15" s="75" t="e">
        <f>#REF!</f>
        <v>#REF!</v>
      </c>
      <c r="J15" s="75" t="e">
        <f>#REF!</f>
        <v>#REF!</v>
      </c>
      <c r="K15" s="75" t="e">
        <f>#REF!</f>
        <v>#REF!</v>
      </c>
      <c r="L15" s="75" t="e">
        <f>#REF!</f>
        <v>#REF!</v>
      </c>
      <c r="M15" s="75" t="e">
        <f>'прогр обесп'!#REF!</f>
        <v>#REF!</v>
      </c>
      <c r="N15" s="75">
        <f>'прогр обесп'!B12</f>
        <v>0</v>
      </c>
      <c r="O15" s="59"/>
      <c r="P15" s="59"/>
      <c r="Q15" s="59"/>
      <c r="R15" s="59"/>
      <c r="S15" s="60"/>
      <c r="T15" s="60"/>
      <c r="U15" s="28" t="e">
        <f t="shared" si="0"/>
        <v>#REF!</v>
      </c>
      <c r="V15" s="29">
        <f t="shared" si="3"/>
        <v>150000</v>
      </c>
      <c r="W15" s="73" t="e">
        <f t="shared" si="4"/>
        <v>#REF!</v>
      </c>
    </row>
    <row r="16" spans="1:23" ht="15.75" x14ac:dyDescent="0.25">
      <c r="A16" s="12" t="s">
        <v>32</v>
      </c>
      <c r="B16" s="13"/>
      <c r="C16" s="13"/>
      <c r="D16" s="13"/>
      <c r="E16" s="77"/>
      <c r="F16" s="55">
        <v>7890000</v>
      </c>
      <c r="G16" s="21">
        <f t="shared" si="2"/>
        <v>657500</v>
      </c>
      <c r="H16" s="74"/>
      <c r="I16" s="75" t="e">
        <f>'з пл'!#REF!</f>
        <v>#REF!</v>
      </c>
      <c r="J16" s="75" t="e">
        <f>'з пл'!#REF!</f>
        <v>#REF!</v>
      </c>
      <c r="K16" s="75" t="e">
        <f>'з пл'!#REF!</f>
        <v>#REF!</v>
      </c>
      <c r="L16" s="75" t="e">
        <f>'з пл'!#REF!</f>
        <v>#REF!</v>
      </c>
      <c r="M16" s="75" t="e">
        <f>'з пл'!#REF!</f>
        <v>#REF!</v>
      </c>
      <c r="N16" s="75">
        <f>'з пл'!B6</f>
        <v>653095.5</v>
      </c>
      <c r="O16" s="59"/>
      <c r="P16" s="59"/>
      <c r="Q16" s="59"/>
      <c r="R16" s="59"/>
      <c r="S16" s="60"/>
      <c r="T16" s="60"/>
      <c r="U16" s="28" t="e">
        <f t="shared" si="0"/>
        <v>#REF!</v>
      </c>
      <c r="V16" s="29">
        <f t="shared" si="3"/>
        <v>3945000</v>
      </c>
      <c r="W16" s="73" t="e">
        <f t="shared" si="4"/>
        <v>#REF!</v>
      </c>
    </row>
    <row r="17" spans="1:24" ht="15.75" x14ac:dyDescent="0.25">
      <c r="A17" s="12" t="s">
        <v>33</v>
      </c>
      <c r="B17" s="13"/>
      <c r="C17" s="13"/>
      <c r="D17" s="13"/>
      <c r="E17" s="13"/>
      <c r="F17" s="55">
        <v>500000</v>
      </c>
      <c r="G17" s="21">
        <f t="shared" si="2"/>
        <v>41666.666666666664</v>
      </c>
      <c r="H17" s="74"/>
      <c r="I17" s="75" t="e">
        <f>премии!#REF!</f>
        <v>#REF!</v>
      </c>
      <c r="J17" s="75" t="e">
        <f>премии!#REF!</f>
        <v>#REF!</v>
      </c>
      <c r="K17" s="75" t="e">
        <f>премии!#REF!</f>
        <v>#REF!</v>
      </c>
      <c r="L17" s="75" t="e">
        <f>премии!#REF!</f>
        <v>#REF!</v>
      </c>
      <c r="M17" s="75" t="e">
        <f>премии!#REF!</f>
        <v>#REF!</v>
      </c>
      <c r="N17" s="75">
        <f>премии!B5</f>
        <v>0</v>
      </c>
      <c r="O17" s="59"/>
      <c r="P17" s="59"/>
      <c r="Q17" s="59"/>
      <c r="R17" s="59"/>
      <c r="S17" s="60"/>
      <c r="T17" s="60"/>
      <c r="U17" s="28" t="e">
        <f t="shared" si="0"/>
        <v>#REF!</v>
      </c>
      <c r="V17" s="29">
        <f t="shared" si="3"/>
        <v>250000</v>
      </c>
      <c r="W17" s="73" t="e">
        <f t="shared" si="4"/>
        <v>#REF!</v>
      </c>
    </row>
    <row r="18" spans="1:24" ht="15.75" x14ac:dyDescent="0.25">
      <c r="A18" s="12" t="s">
        <v>34</v>
      </c>
      <c r="B18" s="13"/>
      <c r="C18" s="13"/>
      <c r="D18" s="13"/>
      <c r="E18" s="13"/>
      <c r="F18" s="55">
        <v>2517000</v>
      </c>
      <c r="G18" s="21">
        <f t="shared" si="2"/>
        <v>209750</v>
      </c>
      <c r="H18" s="74"/>
      <c r="I18" s="75" t="e">
        <f>'налог с ФОТ'!#REF!</f>
        <v>#REF!</v>
      </c>
      <c r="J18" s="75" t="e">
        <f>'налог с ФОТ'!#REF!</f>
        <v>#REF!</v>
      </c>
      <c r="K18" s="75" t="e">
        <f>'налог с ФОТ'!#REF!</f>
        <v>#REF!</v>
      </c>
      <c r="L18" s="75" t="e">
        <f>'налог с ФОТ'!#REF!</f>
        <v>#REF!</v>
      </c>
      <c r="M18" s="75" t="e">
        <f>'налог с ФОТ'!#REF!</f>
        <v>#REF!</v>
      </c>
      <c r="N18" s="75">
        <f>'налог с ФОТ'!B6</f>
        <v>187389.58</v>
      </c>
      <c r="O18" s="59"/>
      <c r="P18" s="59"/>
      <c r="Q18" s="59"/>
      <c r="R18" s="59"/>
      <c r="S18" s="60"/>
      <c r="T18" s="60"/>
      <c r="U18" s="28" t="e">
        <f t="shared" si="0"/>
        <v>#REF!</v>
      </c>
      <c r="V18" s="29">
        <f t="shared" si="3"/>
        <v>1258500</v>
      </c>
      <c r="W18" s="73" t="e">
        <f t="shared" si="4"/>
        <v>#REF!</v>
      </c>
    </row>
    <row r="19" spans="1:24" ht="15.75" x14ac:dyDescent="0.25">
      <c r="A19" s="12" t="s">
        <v>35</v>
      </c>
      <c r="B19" s="13"/>
      <c r="C19" s="13"/>
      <c r="D19" s="13"/>
      <c r="E19" s="13"/>
      <c r="F19" s="55">
        <v>200000</v>
      </c>
      <c r="G19" s="21">
        <f t="shared" si="2"/>
        <v>16666.666666666668</v>
      </c>
      <c r="H19" s="74"/>
      <c r="I19" s="75" t="e">
        <f>#REF!</f>
        <v>#REF!</v>
      </c>
      <c r="J19" s="75" t="e">
        <f>#REF!</f>
        <v>#REF!</v>
      </c>
      <c r="K19" s="75" t="e">
        <f>#REF!</f>
        <v>#REF!</v>
      </c>
      <c r="L19" s="75" t="e">
        <f>#REF!</f>
        <v>#REF!</v>
      </c>
      <c r="M19" s="75" t="e">
        <f>#REF!</f>
        <v>#REF!</v>
      </c>
      <c r="N19" s="75" t="e">
        <f>#REF!</f>
        <v>#REF!</v>
      </c>
      <c r="O19" s="59"/>
      <c r="P19" s="59"/>
      <c r="Q19" s="59"/>
      <c r="R19" s="59"/>
      <c r="S19" s="60"/>
      <c r="T19" s="60"/>
      <c r="U19" s="28" t="e">
        <f t="shared" si="0"/>
        <v>#REF!</v>
      </c>
      <c r="V19" s="29">
        <f t="shared" si="3"/>
        <v>100000</v>
      </c>
      <c r="W19" s="73" t="e">
        <f t="shared" si="4"/>
        <v>#REF!</v>
      </c>
    </row>
    <row r="20" spans="1:24" ht="15.75" x14ac:dyDescent="0.25">
      <c r="A20" s="70" t="s">
        <v>36</v>
      </c>
      <c r="B20" s="71"/>
      <c r="C20" s="71"/>
      <c r="D20" s="71"/>
      <c r="E20" s="71"/>
      <c r="F20" s="20">
        <v>1950000</v>
      </c>
      <c r="G20" s="21">
        <f t="shared" si="2"/>
        <v>162500</v>
      </c>
      <c r="H20" s="32"/>
      <c r="I20" s="72" t="e">
        <f>мусор!#REF!</f>
        <v>#REF!</v>
      </c>
      <c r="J20" s="72" t="e">
        <f>мусор!#REF!</f>
        <v>#REF!</v>
      </c>
      <c r="K20" s="72" t="e">
        <f>мусор!#REF!</f>
        <v>#REF!</v>
      </c>
      <c r="L20" s="72" t="e">
        <f>мусор!#REF!</f>
        <v>#REF!</v>
      </c>
      <c r="M20" s="72" t="e">
        <f>мусор!#REF!</f>
        <v>#REF!</v>
      </c>
      <c r="N20" s="72">
        <f>мусор!B10</f>
        <v>525017.63</v>
      </c>
      <c r="O20" s="26"/>
      <c r="P20" s="26"/>
      <c r="Q20" s="26"/>
      <c r="R20" s="26"/>
      <c r="S20" s="27"/>
      <c r="T20" s="27"/>
      <c r="U20" s="28" t="e">
        <f t="shared" si="0"/>
        <v>#REF!</v>
      </c>
      <c r="V20" s="29">
        <f t="shared" si="3"/>
        <v>975000</v>
      </c>
      <c r="W20" s="73" t="e">
        <f t="shared" si="4"/>
        <v>#REF!</v>
      </c>
    </row>
    <row r="21" spans="1:24" ht="15.75" x14ac:dyDescent="0.25">
      <c r="A21" s="70" t="s">
        <v>37</v>
      </c>
      <c r="B21" s="71"/>
      <c r="C21" s="71"/>
      <c r="D21" s="71"/>
      <c r="E21" s="76"/>
      <c r="F21" s="20">
        <v>7400000</v>
      </c>
      <c r="G21" s="21">
        <f t="shared" si="2"/>
        <v>616666.66666666663</v>
      </c>
      <c r="H21" s="32"/>
      <c r="I21" s="72" t="e">
        <f>#REF!</f>
        <v>#REF!</v>
      </c>
      <c r="J21" s="72" t="e">
        <f>#REF!</f>
        <v>#REF!</v>
      </c>
      <c r="K21" s="72" t="e">
        <f>#REF!</f>
        <v>#REF!</v>
      </c>
      <c r="L21" s="72" t="e">
        <f>#REF!</f>
        <v>#REF!</v>
      </c>
      <c r="M21" s="72" t="e">
        <f>#REF!</f>
        <v>#REF!</v>
      </c>
      <c r="N21" s="72" t="e">
        <f>#REF!</f>
        <v>#REF!</v>
      </c>
      <c r="O21" s="26"/>
      <c r="P21" s="26"/>
      <c r="Q21" s="26"/>
      <c r="R21" s="26"/>
      <c r="S21" s="27"/>
      <c r="T21" s="27"/>
      <c r="U21" s="28" t="e">
        <f t="shared" si="0"/>
        <v>#REF!</v>
      </c>
      <c r="V21" s="29">
        <f t="shared" si="3"/>
        <v>3700000</v>
      </c>
      <c r="W21" s="73" t="e">
        <f t="shared" si="4"/>
        <v>#REF!</v>
      </c>
    </row>
    <row r="22" spans="1:24" ht="15.75" x14ac:dyDescent="0.25">
      <c r="A22" s="12" t="s">
        <v>38</v>
      </c>
      <c r="B22" s="13"/>
      <c r="C22" s="13"/>
      <c r="D22" s="13"/>
      <c r="E22" s="13"/>
      <c r="F22" s="55">
        <v>230000</v>
      </c>
      <c r="G22" s="21">
        <f t="shared" si="2"/>
        <v>19166.666666666668</v>
      </c>
      <c r="H22" s="74"/>
      <c r="I22" s="75" t="e">
        <f>#REF!</f>
        <v>#REF!</v>
      </c>
      <c r="J22" s="75" t="e">
        <f>#REF!</f>
        <v>#REF!</v>
      </c>
      <c r="K22" s="75" t="e">
        <f>#REF!</f>
        <v>#REF!</v>
      </c>
      <c r="L22" s="75" t="e">
        <f>#REF!</f>
        <v>#REF!</v>
      </c>
      <c r="M22" s="75" t="e">
        <f>#REF!</f>
        <v>#REF!</v>
      </c>
      <c r="N22" s="75" t="e">
        <f>#REF!</f>
        <v>#REF!</v>
      </c>
      <c r="O22" s="59"/>
      <c r="P22" s="59"/>
      <c r="Q22" s="59"/>
      <c r="R22" s="59"/>
      <c r="S22" s="60"/>
      <c r="T22" s="60"/>
      <c r="U22" s="28" t="e">
        <f t="shared" si="0"/>
        <v>#REF!</v>
      </c>
      <c r="V22" s="29">
        <f t="shared" si="3"/>
        <v>115000</v>
      </c>
      <c r="W22" s="73" t="e">
        <f t="shared" si="4"/>
        <v>#REF!</v>
      </c>
    </row>
    <row r="23" spans="1:24" ht="15.75" x14ac:dyDescent="0.25">
      <c r="A23" s="70" t="s">
        <v>39</v>
      </c>
      <c r="B23" s="71"/>
      <c r="C23" s="71"/>
      <c r="D23" s="71"/>
      <c r="E23" s="71"/>
      <c r="F23" s="20">
        <v>1240000</v>
      </c>
      <c r="G23" s="21">
        <f t="shared" si="2"/>
        <v>103333.33333333333</v>
      </c>
      <c r="H23" s="32"/>
      <c r="I23" s="72" t="e">
        <f>вода!#REF!</f>
        <v>#REF!</v>
      </c>
      <c r="J23" s="72" t="e">
        <f>вода!#REF!</f>
        <v>#REF!</v>
      </c>
      <c r="K23" s="72" t="e">
        <f>вода!#REF!</f>
        <v>#REF!</v>
      </c>
      <c r="L23" s="72" t="e">
        <f>вода!#REF!</f>
        <v>#REF!</v>
      </c>
      <c r="M23" s="72" t="e">
        <f>вода!#REF!</f>
        <v>#REF!</v>
      </c>
      <c r="N23" s="72">
        <f>вода!B32</f>
        <v>54965</v>
      </c>
      <c r="O23" s="26"/>
      <c r="P23" s="26"/>
      <c r="Q23" s="26"/>
      <c r="R23" s="26"/>
      <c r="S23" s="27"/>
      <c r="T23" s="27"/>
      <c r="U23" s="28" t="e">
        <f t="shared" si="0"/>
        <v>#REF!</v>
      </c>
      <c r="V23" s="29">
        <f t="shared" si="3"/>
        <v>620000</v>
      </c>
      <c r="W23" s="73" t="e">
        <f t="shared" si="4"/>
        <v>#REF!</v>
      </c>
    </row>
    <row r="24" spans="1:24" ht="15.75" x14ac:dyDescent="0.25">
      <c r="A24" s="70" t="s">
        <v>40</v>
      </c>
      <c r="B24" s="71"/>
      <c r="C24" s="71"/>
      <c r="D24" s="71"/>
      <c r="E24" s="71"/>
      <c r="F24" s="20">
        <f>250000+480000</f>
        <v>730000</v>
      </c>
      <c r="G24" s="21">
        <f t="shared" si="2"/>
        <v>60833.333333333336</v>
      </c>
      <c r="H24" s="32"/>
      <c r="I24" s="72" t="e">
        <f>#REF!</f>
        <v>#REF!</v>
      </c>
      <c r="J24" s="72" t="e">
        <f>#REF!</f>
        <v>#REF!</v>
      </c>
      <c r="K24" s="72" t="e">
        <f>#REF!</f>
        <v>#REF!</v>
      </c>
      <c r="L24" s="72" t="e">
        <f>#REF!</f>
        <v>#REF!</v>
      </c>
      <c r="M24" s="72" t="e">
        <f>#REF!</f>
        <v>#REF!</v>
      </c>
      <c r="N24" s="72" t="e">
        <f>#REF!</f>
        <v>#REF!</v>
      </c>
      <c r="O24" s="26"/>
      <c r="P24" s="26"/>
      <c r="Q24" s="26"/>
      <c r="R24" s="26"/>
      <c r="S24" s="27"/>
      <c r="T24" s="27"/>
      <c r="U24" s="28" t="e">
        <f t="shared" si="0"/>
        <v>#REF!</v>
      </c>
      <c r="V24" s="29">
        <f t="shared" si="3"/>
        <v>365000</v>
      </c>
      <c r="W24" s="73" t="e">
        <f t="shared" si="4"/>
        <v>#REF!</v>
      </c>
    </row>
    <row r="25" spans="1:24" ht="15.75" x14ac:dyDescent="0.25">
      <c r="A25" s="70" t="s">
        <v>41</v>
      </c>
      <c r="B25" s="71"/>
      <c r="C25" s="71"/>
      <c r="D25" s="71"/>
      <c r="E25" s="71"/>
      <c r="F25" s="20">
        <v>250000</v>
      </c>
      <c r="G25" s="21">
        <f t="shared" si="2"/>
        <v>20833.333333333332</v>
      </c>
      <c r="H25" s="32"/>
      <c r="I25" s="72" t="e">
        <f>#REF!</f>
        <v>#REF!</v>
      </c>
      <c r="J25" s="72" t="e">
        <f>#REF!</f>
        <v>#REF!</v>
      </c>
      <c r="K25" s="72" t="e">
        <f>#REF!</f>
        <v>#REF!</v>
      </c>
      <c r="L25" s="72" t="e">
        <f>#REF!</f>
        <v>#REF!</v>
      </c>
      <c r="M25" s="72" t="e">
        <f>#REF!</f>
        <v>#REF!</v>
      </c>
      <c r="N25" s="72" t="e">
        <f>#REF!</f>
        <v>#REF!</v>
      </c>
      <c r="O25" s="26"/>
      <c r="P25" s="26"/>
      <c r="Q25" s="26"/>
      <c r="R25" s="26"/>
      <c r="S25" s="27"/>
      <c r="T25" s="27"/>
      <c r="U25" s="28" t="e">
        <f t="shared" si="0"/>
        <v>#REF!</v>
      </c>
      <c r="V25" s="29">
        <f t="shared" si="3"/>
        <v>125000</v>
      </c>
      <c r="W25" s="73" t="e">
        <f t="shared" si="4"/>
        <v>#REF!</v>
      </c>
    </row>
    <row r="26" spans="1:24" ht="15.75" x14ac:dyDescent="0.25">
      <c r="A26" s="70" t="s">
        <v>42</v>
      </c>
      <c r="B26" s="71"/>
      <c r="C26" s="71"/>
      <c r="D26" s="71"/>
      <c r="E26" s="71"/>
      <c r="F26" s="20">
        <v>1800000</v>
      </c>
      <c r="G26" s="21">
        <f t="shared" si="2"/>
        <v>150000</v>
      </c>
      <c r="H26" s="32"/>
      <c r="I26" s="72" t="e">
        <f>эл.снабж!#REF!</f>
        <v>#REF!</v>
      </c>
      <c r="J26" s="72" t="e">
        <f>эл.снабж!#REF!</f>
        <v>#REF!</v>
      </c>
      <c r="K26" s="72" t="e">
        <f>эл.снабж!#REF!</f>
        <v>#REF!</v>
      </c>
      <c r="L26" s="72" t="e">
        <f>эл.снабж!#REF!</f>
        <v>#REF!</v>
      </c>
      <c r="M26" s="72" t="e">
        <f>эл.снабж!#REF!</f>
        <v>#REF!</v>
      </c>
      <c r="N26" s="72">
        <f>эл.снабж!B77</f>
        <v>136726.22</v>
      </c>
      <c r="O26" s="26"/>
      <c r="P26" s="26"/>
      <c r="Q26" s="26"/>
      <c r="R26" s="26"/>
      <c r="S26" s="27"/>
      <c r="T26" s="27"/>
      <c r="U26" s="28" t="e">
        <f t="shared" si="0"/>
        <v>#REF!</v>
      </c>
      <c r="V26" s="29">
        <f t="shared" si="3"/>
        <v>900000</v>
      </c>
      <c r="W26" s="73" t="e">
        <f t="shared" si="4"/>
        <v>#REF!</v>
      </c>
    </row>
    <row r="27" spans="1:24" ht="15.75" x14ac:dyDescent="0.25">
      <c r="A27" s="70" t="s">
        <v>43</v>
      </c>
      <c r="B27" s="71"/>
      <c r="C27" s="71"/>
      <c r="D27" s="71"/>
      <c r="E27" s="71"/>
      <c r="F27" s="20">
        <v>1700000</v>
      </c>
      <c r="G27" s="21">
        <f t="shared" si="2"/>
        <v>141666.66666666666</v>
      </c>
      <c r="H27" s="32"/>
      <c r="I27" s="72" t="e">
        <f>#REF!</f>
        <v>#REF!</v>
      </c>
      <c r="J27" s="72" t="e">
        <f>#REF!</f>
        <v>#REF!</v>
      </c>
      <c r="K27" s="72" t="e">
        <f>#REF!</f>
        <v>#REF!</v>
      </c>
      <c r="L27" s="72" t="e">
        <f>#REF!</f>
        <v>#REF!</v>
      </c>
      <c r="M27" s="72" t="e">
        <f>#REF!</f>
        <v>#REF!</v>
      </c>
      <c r="N27" s="72" t="e">
        <f>#REF!</f>
        <v>#REF!</v>
      </c>
      <c r="O27" s="26"/>
      <c r="P27" s="26"/>
      <c r="Q27" s="26"/>
      <c r="R27" s="26"/>
      <c r="S27" s="27"/>
      <c r="T27" s="27"/>
      <c r="U27" s="28" t="e">
        <f t="shared" si="0"/>
        <v>#REF!</v>
      </c>
      <c r="V27" s="29">
        <f t="shared" si="3"/>
        <v>850000</v>
      </c>
      <c r="W27" s="73" t="e">
        <f t="shared" si="4"/>
        <v>#REF!</v>
      </c>
    </row>
    <row r="28" spans="1:24" ht="15.75" x14ac:dyDescent="0.25">
      <c r="A28" s="70" t="s">
        <v>44</v>
      </c>
      <c r="B28" s="71"/>
      <c r="C28" s="71"/>
      <c r="D28" s="71"/>
      <c r="E28" s="71"/>
      <c r="F28" s="20">
        <v>600000</v>
      </c>
      <c r="G28" s="21">
        <f t="shared" si="2"/>
        <v>50000</v>
      </c>
      <c r="H28" s="32"/>
      <c r="I28" s="72" t="e">
        <f>'спец авто транспорт'!#REF!</f>
        <v>#REF!</v>
      </c>
      <c r="J28" s="72" t="e">
        <f>'спец авто транспорт'!#REF!</f>
        <v>#REF!</v>
      </c>
      <c r="K28" s="72" t="e">
        <f>'спец авто транспорт'!#REF!</f>
        <v>#REF!</v>
      </c>
      <c r="L28" s="72" t="e">
        <f>'спец авто транспорт'!#REF!</f>
        <v>#REF!</v>
      </c>
      <c r="M28" s="72" t="e">
        <f>'спец авто транспорт'!#REF!</f>
        <v>#REF!</v>
      </c>
      <c r="N28" s="72">
        <f>'спец авто транспорт'!B46</f>
        <v>23006</v>
      </c>
      <c r="O28" s="26"/>
      <c r="P28" s="26"/>
      <c r="Q28" s="26"/>
      <c r="R28" s="26"/>
      <c r="S28" s="27"/>
      <c r="T28" s="27"/>
      <c r="U28" s="28" t="e">
        <f t="shared" si="0"/>
        <v>#REF!</v>
      </c>
      <c r="V28" s="29">
        <f t="shared" si="3"/>
        <v>300000</v>
      </c>
      <c r="W28" s="73" t="e">
        <f t="shared" si="4"/>
        <v>#REF!</v>
      </c>
    </row>
    <row r="29" spans="1:24" ht="15.75" x14ac:dyDescent="0.25">
      <c r="A29" s="70" t="s">
        <v>45</v>
      </c>
      <c r="B29" s="71"/>
      <c r="C29" s="71"/>
      <c r="D29" s="71"/>
      <c r="E29" s="71"/>
      <c r="F29" s="20">
        <v>250000</v>
      </c>
      <c r="G29" s="21">
        <f t="shared" si="2"/>
        <v>20833.333333333332</v>
      </c>
      <c r="H29" s="32"/>
      <c r="I29" s="72" t="e">
        <f>'благ-во'!#REF!</f>
        <v>#REF!</v>
      </c>
      <c r="J29" s="72" t="e">
        <f>'благ-во'!#REF!</f>
        <v>#REF!</v>
      </c>
      <c r="K29" s="72" t="e">
        <f>'благ-во'!#REF!</f>
        <v>#REF!</v>
      </c>
      <c r="L29" s="72" t="e">
        <f>'благ-во'!#REF!</f>
        <v>#REF!</v>
      </c>
      <c r="M29" s="72" t="e">
        <f>'благ-во'!#REF!</f>
        <v>#REF!</v>
      </c>
      <c r="N29" s="72">
        <f>'благ-во'!B62</f>
        <v>27744.42</v>
      </c>
      <c r="O29" s="26"/>
      <c r="P29" s="26"/>
      <c r="Q29" s="26"/>
      <c r="R29" s="26"/>
      <c r="S29" s="27"/>
      <c r="T29" s="27"/>
      <c r="U29" s="28" t="e">
        <f t="shared" si="0"/>
        <v>#REF!</v>
      </c>
      <c r="V29" s="29">
        <f t="shared" si="3"/>
        <v>125000</v>
      </c>
      <c r="W29" s="73" t="e">
        <f t="shared" si="4"/>
        <v>#REF!</v>
      </c>
    </row>
    <row r="30" spans="1:24" ht="15.75" x14ac:dyDescent="0.25">
      <c r="A30" s="70" t="s">
        <v>46</v>
      </c>
      <c r="B30" s="71"/>
      <c r="C30" s="71"/>
      <c r="D30" s="71"/>
      <c r="E30" s="71"/>
      <c r="F30" s="20">
        <v>719200</v>
      </c>
      <c r="G30" s="21">
        <f t="shared" si="2"/>
        <v>59933.333333333336</v>
      </c>
      <c r="H30" s="32"/>
      <c r="I30" s="72" t="e">
        <f>#REF!</f>
        <v>#REF!</v>
      </c>
      <c r="J30" s="72" t="e">
        <f>#REF!</f>
        <v>#REF!</v>
      </c>
      <c r="K30" s="72" t="e">
        <f>#REF!</f>
        <v>#REF!</v>
      </c>
      <c r="L30" s="72" t="e">
        <f>#REF!</f>
        <v>#REF!</v>
      </c>
      <c r="M30" s="72" t="e">
        <f>#REF!</f>
        <v>#REF!</v>
      </c>
      <c r="N30" s="72" t="e">
        <f>#REF!</f>
        <v>#REF!</v>
      </c>
      <c r="O30" s="26"/>
      <c r="P30" s="26"/>
      <c r="Q30" s="26"/>
      <c r="R30" s="26"/>
      <c r="S30" s="27"/>
      <c r="T30" s="27"/>
      <c r="U30" s="28" t="e">
        <f t="shared" si="0"/>
        <v>#REF!</v>
      </c>
      <c r="V30" s="29">
        <f t="shared" si="3"/>
        <v>359600</v>
      </c>
      <c r="W30" s="73" t="e">
        <f t="shared" si="4"/>
        <v>#REF!</v>
      </c>
    </row>
    <row r="31" spans="1:24" ht="15.75" x14ac:dyDescent="0.25">
      <c r="A31" s="78" t="s">
        <v>47</v>
      </c>
      <c r="B31" s="79"/>
      <c r="C31" s="79"/>
      <c r="D31" s="79"/>
      <c r="E31" s="79"/>
      <c r="F31" s="80">
        <v>1473800</v>
      </c>
      <c r="G31" s="81">
        <f t="shared" si="2"/>
        <v>122816.66666666667</v>
      </c>
      <c r="H31" s="41"/>
      <c r="I31" s="82" t="e">
        <f>'рез фонд'!#REF!</f>
        <v>#REF!</v>
      </c>
      <c r="J31" s="82" t="e">
        <f>'рез фонд'!#REF!</f>
        <v>#REF!</v>
      </c>
      <c r="K31" s="82" t="e">
        <f>'рез фонд'!#REF!</f>
        <v>#REF!</v>
      </c>
      <c r="L31" s="82" t="e">
        <f>'рез фонд'!#REF!</f>
        <v>#REF!</v>
      </c>
      <c r="M31" s="82" t="e">
        <f>'рез фонд'!#REF!</f>
        <v>#REF!</v>
      </c>
      <c r="N31" s="82">
        <f>'рез фонд'!B55</f>
        <v>93333.9</v>
      </c>
      <c r="O31" s="50"/>
      <c r="P31" s="50"/>
      <c r="Q31" s="50"/>
      <c r="R31" s="50"/>
      <c r="S31" s="83"/>
      <c r="T31" s="83"/>
      <c r="U31" s="52" t="e">
        <f t="shared" si="0"/>
        <v>#REF!</v>
      </c>
      <c r="V31" s="29">
        <f t="shared" si="3"/>
        <v>736900</v>
      </c>
      <c r="W31" s="84" t="e">
        <f t="shared" si="4"/>
        <v>#REF!</v>
      </c>
      <c r="X31" s="85"/>
    </row>
    <row r="32" spans="1:24" ht="15.75" x14ac:dyDescent="0.25">
      <c r="A32" s="403" t="s">
        <v>48</v>
      </c>
      <c r="B32" s="404"/>
      <c r="C32" s="404"/>
      <c r="D32" s="404"/>
      <c r="E32" s="405"/>
      <c r="F32" s="55">
        <f>SUM(F12:F31)</f>
        <v>30950000</v>
      </c>
      <c r="G32" s="56">
        <f>SUM(G12:G31)</f>
        <v>2579166.6666666665</v>
      </c>
      <c r="H32" s="74"/>
      <c r="I32" s="86" t="e">
        <f>SUM(I12:I31)</f>
        <v>#REF!</v>
      </c>
      <c r="J32" s="86" t="e">
        <f>SUM(J12:J31)</f>
        <v>#REF!</v>
      </c>
      <c r="K32" s="86" t="e">
        <f t="shared" ref="K32:U32" si="5">SUM(K12:K31)</f>
        <v>#REF!</v>
      </c>
      <c r="L32" s="87" t="e">
        <f t="shared" si="5"/>
        <v>#REF!</v>
      </c>
      <c r="M32" s="88" t="e">
        <f t="shared" si="5"/>
        <v>#REF!</v>
      </c>
      <c r="N32" s="88" t="e">
        <f t="shared" si="5"/>
        <v>#REF!</v>
      </c>
      <c r="O32" s="59">
        <f t="shared" si="5"/>
        <v>0</v>
      </c>
      <c r="P32" s="59">
        <f t="shared" si="5"/>
        <v>0</v>
      </c>
      <c r="Q32" s="59">
        <f t="shared" si="5"/>
        <v>0</v>
      </c>
      <c r="R32" s="59">
        <f t="shared" si="5"/>
        <v>0</v>
      </c>
      <c r="S32" s="60">
        <f t="shared" si="5"/>
        <v>0</v>
      </c>
      <c r="T32" s="60">
        <f t="shared" si="5"/>
        <v>0</v>
      </c>
      <c r="U32" s="61" t="e">
        <f t="shared" si="5"/>
        <v>#REF!</v>
      </c>
      <c r="V32" s="29">
        <f>G32*5</f>
        <v>12895833.333333332</v>
      </c>
      <c r="W32" s="89" t="e">
        <f>SUM(W12:W31)</f>
        <v>#REF!</v>
      </c>
    </row>
    <row r="34" spans="1:23" x14ac:dyDescent="0.25">
      <c r="A34" s="406" t="s">
        <v>49</v>
      </c>
      <c r="B34" s="406"/>
      <c r="C34" s="406"/>
      <c r="D34" s="406"/>
      <c r="E34" s="406"/>
      <c r="F34" s="406"/>
      <c r="G34" s="406"/>
      <c r="H34" s="406"/>
      <c r="I34" s="406"/>
      <c r="J34" s="406"/>
      <c r="K34" s="406"/>
      <c r="L34" s="406"/>
      <c r="M34" s="406"/>
      <c r="N34" s="406"/>
      <c r="O34" s="406"/>
      <c r="P34" s="406"/>
      <c r="Q34" s="406"/>
      <c r="R34" s="406"/>
      <c r="S34" s="406"/>
      <c r="T34" s="406"/>
      <c r="U34" s="406"/>
      <c r="V34" s="90"/>
      <c r="W34" s="90"/>
    </row>
    <row r="35" spans="1:23" x14ac:dyDescent="0.25">
      <c r="A35" s="407" t="s">
        <v>50</v>
      </c>
      <c r="B35" s="408"/>
      <c r="C35" s="408"/>
      <c r="D35" s="408"/>
      <c r="E35" s="408"/>
      <c r="F35" s="409"/>
      <c r="G35" s="409"/>
      <c r="H35" s="408"/>
      <c r="I35" s="409"/>
      <c r="J35" s="409"/>
      <c r="K35" s="409"/>
      <c r="L35" s="408"/>
      <c r="M35" s="91"/>
      <c r="N35" s="91"/>
      <c r="O35" s="91"/>
      <c r="P35" s="91"/>
      <c r="Q35" s="91"/>
      <c r="R35" s="91"/>
      <c r="S35" s="91"/>
      <c r="T35" s="91"/>
      <c r="U35" s="92"/>
      <c r="V35" s="90"/>
      <c r="W35" s="90"/>
    </row>
    <row r="36" spans="1:23" x14ac:dyDescent="0.25">
      <c r="A36" s="394" t="s">
        <v>51</v>
      </c>
      <c r="B36" s="395"/>
      <c r="C36" s="395"/>
      <c r="D36" s="395"/>
      <c r="E36" s="395"/>
      <c r="F36" s="395"/>
      <c r="G36" s="395"/>
      <c r="H36" s="395"/>
      <c r="I36" s="395"/>
      <c r="J36" s="395"/>
      <c r="K36" s="395"/>
      <c r="L36" s="395"/>
      <c r="M36" s="395"/>
      <c r="N36" s="395"/>
      <c r="O36" s="395"/>
      <c r="P36" s="395"/>
      <c r="Q36" s="395"/>
      <c r="R36" s="395"/>
      <c r="S36" s="395"/>
      <c r="T36" s="395"/>
      <c r="U36" s="396"/>
      <c r="V36" s="90"/>
      <c r="W36" s="90"/>
    </row>
    <row r="37" spans="1:23" x14ac:dyDescent="0.25">
      <c r="A37" s="93"/>
      <c r="B37" s="93"/>
      <c r="C37" s="93"/>
      <c r="D37" s="93"/>
      <c r="E37" s="93"/>
      <c r="F37" s="90"/>
      <c r="G37" s="90"/>
      <c r="H37" s="93"/>
      <c r="I37" s="90"/>
      <c r="J37" s="90"/>
      <c r="K37" s="90"/>
      <c r="L37" s="93"/>
      <c r="M37" s="93"/>
      <c r="N37" s="93"/>
      <c r="O37" s="93"/>
      <c r="P37" s="93"/>
      <c r="Q37" s="93"/>
      <c r="R37" s="93"/>
      <c r="S37" s="93"/>
      <c r="T37" s="93"/>
      <c r="U37" s="90"/>
      <c r="V37" s="90"/>
      <c r="W37" s="90"/>
    </row>
    <row r="38" spans="1:23" x14ac:dyDescent="0.25">
      <c r="A38" s="397"/>
      <c r="B38" s="398"/>
      <c r="C38" s="398"/>
      <c r="D38" s="398"/>
      <c r="E38" s="398"/>
      <c r="F38" s="398"/>
      <c r="G38" s="398"/>
      <c r="H38" s="398"/>
      <c r="I38" s="398"/>
      <c r="J38" s="398"/>
      <c r="K38" s="398"/>
      <c r="L38" s="398"/>
      <c r="M38" s="398"/>
      <c r="N38" s="398"/>
      <c r="O38" s="398"/>
      <c r="P38" s="398"/>
      <c r="Q38" s="398"/>
      <c r="R38" s="398"/>
      <c r="S38" s="398"/>
      <c r="T38" s="398"/>
      <c r="U38" s="399"/>
      <c r="V38" s="90"/>
      <c r="W38" s="90"/>
    </row>
    <row r="39" spans="1:23" x14ac:dyDescent="0.25">
      <c r="A39" s="400"/>
      <c r="B39" s="401"/>
      <c r="C39" s="401"/>
      <c r="D39" s="401"/>
      <c r="E39" s="401"/>
      <c r="F39" s="401"/>
      <c r="G39" s="401"/>
      <c r="H39" s="401"/>
      <c r="I39" s="401"/>
      <c r="J39" s="401"/>
      <c r="K39" s="401"/>
      <c r="L39" s="401"/>
      <c r="M39" s="401"/>
      <c r="N39" s="401"/>
      <c r="O39" s="401"/>
      <c r="P39" s="401"/>
      <c r="Q39" s="401"/>
      <c r="R39" s="401"/>
      <c r="S39" s="401"/>
      <c r="T39" s="401"/>
      <c r="U39" s="402"/>
      <c r="V39" s="90"/>
      <c r="W39" s="90"/>
    </row>
    <row r="40" spans="1:23" x14ac:dyDescent="0.25">
      <c r="A40" s="93"/>
      <c r="B40" s="93"/>
      <c r="C40" s="93"/>
      <c r="D40" s="93"/>
      <c r="E40" s="93"/>
      <c r="F40" s="90"/>
      <c r="G40" s="90"/>
      <c r="H40" s="93"/>
      <c r="I40" s="90"/>
      <c r="J40" s="90"/>
      <c r="K40" s="90"/>
      <c r="L40" s="93"/>
      <c r="M40" s="93"/>
      <c r="N40" s="93"/>
      <c r="O40" s="93"/>
      <c r="P40" s="93"/>
      <c r="Q40" s="93"/>
      <c r="R40" s="93"/>
      <c r="S40" s="93"/>
      <c r="T40" s="93"/>
      <c r="U40" s="90"/>
      <c r="V40" s="90"/>
      <c r="W40" s="90"/>
    </row>
    <row r="41" spans="1:23" x14ac:dyDescent="0.25">
      <c r="A41" s="93"/>
      <c r="B41" s="93"/>
      <c r="C41" s="93"/>
      <c r="D41" s="93"/>
      <c r="E41" s="93"/>
      <c r="F41" s="90"/>
      <c r="G41" s="90"/>
      <c r="H41" s="93"/>
      <c r="I41" s="90"/>
      <c r="J41" s="90"/>
      <c r="K41" s="90"/>
      <c r="L41" s="93"/>
      <c r="M41" s="93"/>
      <c r="N41" s="93"/>
      <c r="O41" s="93"/>
      <c r="P41" s="93"/>
      <c r="Q41" s="93"/>
      <c r="R41" s="93"/>
      <c r="S41" s="93"/>
      <c r="T41" s="93"/>
      <c r="U41" s="90"/>
      <c r="V41" s="90"/>
      <c r="W41" s="90"/>
    </row>
    <row r="42" spans="1:23" x14ac:dyDescent="0.25">
      <c r="A42" s="93"/>
      <c r="B42" s="93"/>
      <c r="C42" s="93"/>
      <c r="D42" s="93"/>
      <c r="E42" s="93"/>
      <c r="F42" s="90"/>
      <c r="G42" s="90"/>
      <c r="H42" s="93"/>
      <c r="I42" s="90"/>
      <c r="J42" s="90"/>
      <c r="K42" s="90"/>
      <c r="L42" s="93"/>
      <c r="M42" s="93"/>
      <c r="N42" s="93"/>
      <c r="O42" s="93"/>
      <c r="P42" s="93"/>
      <c r="Q42" s="93"/>
      <c r="R42" s="93"/>
      <c r="S42" s="93"/>
      <c r="T42" s="93"/>
      <c r="U42" s="90"/>
      <c r="V42" s="90"/>
      <c r="W42" s="90"/>
    </row>
    <row r="43" spans="1:23" x14ac:dyDescent="0.25">
      <c r="A43" s="93"/>
      <c r="B43" s="93"/>
      <c r="C43" s="93"/>
      <c r="D43" s="93"/>
      <c r="E43" s="93"/>
      <c r="F43" s="90"/>
      <c r="G43" s="90"/>
      <c r="H43" s="93"/>
      <c r="I43" s="90"/>
      <c r="J43" s="90"/>
      <c r="K43" s="90"/>
      <c r="L43" s="93"/>
      <c r="M43" s="93"/>
      <c r="N43" s="93"/>
      <c r="O43" s="93"/>
      <c r="P43" s="93"/>
      <c r="Q43" s="93"/>
      <c r="R43" s="93"/>
      <c r="S43" s="93"/>
      <c r="T43" s="93"/>
      <c r="U43" s="90"/>
      <c r="V43" s="90"/>
      <c r="W43" s="90"/>
    </row>
    <row r="44" spans="1:23" x14ac:dyDescent="0.25">
      <c r="A44" s="93"/>
      <c r="B44" s="93"/>
      <c r="C44" s="93"/>
      <c r="D44" s="93"/>
      <c r="E44" s="93"/>
      <c r="F44" s="90"/>
      <c r="G44" s="90"/>
      <c r="H44" s="93"/>
      <c r="I44" s="90"/>
      <c r="J44" s="90"/>
      <c r="K44" s="90"/>
      <c r="L44" s="93"/>
      <c r="M44" s="93"/>
      <c r="N44" s="93"/>
      <c r="O44" s="93"/>
      <c r="P44" s="93"/>
      <c r="Q44" s="93"/>
      <c r="R44" s="93"/>
      <c r="S44" s="93"/>
      <c r="T44" s="93"/>
      <c r="U44" s="90"/>
      <c r="V44" s="90"/>
      <c r="W44" s="90"/>
    </row>
    <row r="45" spans="1:23" x14ac:dyDescent="0.25">
      <c r="A45" s="93"/>
      <c r="B45" s="93"/>
      <c r="C45" s="93"/>
      <c r="D45" s="93"/>
      <c r="E45" s="93"/>
      <c r="F45" s="90"/>
      <c r="G45" s="90"/>
      <c r="H45" s="93"/>
      <c r="I45" s="90"/>
      <c r="J45" s="90"/>
      <c r="K45" s="90"/>
      <c r="L45" s="93"/>
      <c r="M45" s="93"/>
      <c r="N45" s="93"/>
      <c r="O45" s="93"/>
      <c r="P45" s="93"/>
      <c r="Q45" s="93"/>
      <c r="R45" s="93"/>
      <c r="S45" s="93"/>
      <c r="T45" s="93"/>
      <c r="U45" s="90"/>
      <c r="V45" s="90"/>
      <c r="W45" s="90"/>
    </row>
    <row r="46" spans="1:23" x14ac:dyDescent="0.25">
      <c r="A46" s="93"/>
      <c r="B46" s="93"/>
      <c r="C46" s="93"/>
      <c r="D46" s="93"/>
      <c r="E46" s="93"/>
      <c r="F46" s="90"/>
      <c r="G46" s="90"/>
      <c r="H46" s="93"/>
      <c r="I46" s="90"/>
      <c r="J46" s="90"/>
      <c r="K46" s="90"/>
      <c r="L46" s="93"/>
      <c r="M46" s="93"/>
      <c r="N46" s="93"/>
      <c r="O46" s="93"/>
      <c r="P46" s="93"/>
      <c r="Q46" s="93"/>
      <c r="R46" s="93"/>
      <c r="S46" s="93"/>
      <c r="T46" s="93"/>
      <c r="U46" s="90"/>
      <c r="V46" s="90"/>
      <c r="W46" s="90"/>
    </row>
    <row r="47" spans="1:23" x14ac:dyDescent="0.25">
      <c r="A47" s="93"/>
      <c r="B47" s="93"/>
      <c r="C47" s="93"/>
      <c r="D47" s="93"/>
      <c r="E47" s="93"/>
      <c r="F47" s="90"/>
      <c r="G47" s="90"/>
      <c r="H47" s="93"/>
      <c r="I47" s="90"/>
      <c r="J47" s="90"/>
      <c r="K47" s="90"/>
      <c r="L47" s="93"/>
      <c r="M47" s="93"/>
      <c r="N47" s="93"/>
      <c r="O47" s="93"/>
      <c r="P47" s="93"/>
      <c r="Q47" s="93"/>
      <c r="R47" s="93"/>
      <c r="S47" s="93"/>
      <c r="T47" s="93"/>
      <c r="U47" s="90"/>
      <c r="V47" s="90"/>
      <c r="W47" s="90"/>
    </row>
    <row r="48" spans="1:23" x14ac:dyDescent="0.25">
      <c r="A48" s="93"/>
      <c r="B48" s="93"/>
      <c r="C48" s="93"/>
      <c r="D48" s="93"/>
      <c r="E48" s="93"/>
      <c r="F48" s="90"/>
      <c r="G48" s="90"/>
      <c r="H48" s="93"/>
      <c r="I48" s="90"/>
      <c r="J48" s="90"/>
      <c r="K48" s="90"/>
      <c r="L48" s="93"/>
      <c r="M48" s="93"/>
      <c r="N48" s="93"/>
      <c r="O48" s="93"/>
      <c r="P48" s="93"/>
      <c r="Q48" s="93"/>
      <c r="R48" s="93"/>
      <c r="S48" s="93"/>
      <c r="T48" s="93"/>
      <c r="U48" s="90"/>
      <c r="V48" s="90"/>
      <c r="W48" s="90"/>
    </row>
    <row r="49" spans="1:23" x14ac:dyDescent="0.25">
      <c r="A49" s="93"/>
      <c r="B49" s="93"/>
      <c r="C49" s="93"/>
      <c r="D49" s="93"/>
      <c r="E49" s="93"/>
      <c r="F49" s="90"/>
      <c r="G49" s="90"/>
      <c r="H49" s="93"/>
      <c r="I49" s="90"/>
      <c r="J49" s="90"/>
      <c r="K49" s="90"/>
      <c r="L49" s="93"/>
      <c r="M49" s="93"/>
      <c r="N49" s="93"/>
      <c r="O49" s="93"/>
      <c r="P49" s="93"/>
      <c r="Q49" s="93"/>
      <c r="R49" s="93"/>
      <c r="S49" s="93"/>
      <c r="T49" s="93"/>
      <c r="U49" s="90"/>
      <c r="V49" s="90"/>
      <c r="W49" s="90"/>
    </row>
    <row r="50" spans="1:23" x14ac:dyDescent="0.25">
      <c r="A50" s="93"/>
      <c r="B50" s="93"/>
      <c r="C50" s="93"/>
      <c r="D50" s="93"/>
      <c r="E50" s="93"/>
      <c r="F50" s="90"/>
      <c r="G50" s="90"/>
      <c r="H50" s="93"/>
      <c r="I50" s="90"/>
      <c r="J50" s="90"/>
      <c r="K50" s="90"/>
      <c r="L50" s="93"/>
      <c r="M50" s="93"/>
      <c r="N50" s="93"/>
      <c r="O50" s="93"/>
      <c r="P50" s="93"/>
      <c r="Q50" s="93"/>
      <c r="R50" s="93"/>
      <c r="S50" s="93"/>
      <c r="T50" s="93"/>
      <c r="U50" s="90"/>
      <c r="V50" s="90"/>
      <c r="W50" s="90"/>
    </row>
    <row r="51" spans="1:23" x14ac:dyDescent="0.25">
      <c r="A51" s="93"/>
      <c r="B51" s="93"/>
      <c r="C51" s="93"/>
      <c r="D51" s="93"/>
      <c r="E51" s="93"/>
      <c r="F51" s="90"/>
      <c r="G51" s="90"/>
      <c r="H51" s="93"/>
      <c r="I51" s="90"/>
      <c r="J51" s="90"/>
      <c r="K51" s="90"/>
      <c r="L51" s="93"/>
      <c r="M51" s="93"/>
      <c r="N51" s="93"/>
      <c r="O51" s="93"/>
      <c r="P51" s="93"/>
      <c r="Q51" s="93"/>
      <c r="R51" s="93"/>
      <c r="S51" s="93"/>
      <c r="T51" s="93"/>
      <c r="U51" s="90"/>
      <c r="V51" s="90"/>
      <c r="W51" s="90"/>
    </row>
    <row r="52" spans="1:23" x14ac:dyDescent="0.25">
      <c r="A52" s="93"/>
      <c r="B52" s="93"/>
      <c r="C52" s="93"/>
      <c r="D52" s="93"/>
      <c r="E52" s="93"/>
      <c r="F52" s="90"/>
      <c r="G52" s="90"/>
      <c r="H52" s="93"/>
      <c r="I52" s="90"/>
      <c r="J52" s="90"/>
      <c r="K52" s="90"/>
      <c r="L52" s="93"/>
      <c r="M52" s="93"/>
      <c r="N52" s="93"/>
      <c r="O52" s="93"/>
      <c r="P52" s="93"/>
      <c r="Q52" s="93"/>
      <c r="R52" s="93"/>
      <c r="S52" s="93"/>
      <c r="T52" s="93"/>
      <c r="U52" s="90"/>
      <c r="V52" s="90"/>
      <c r="W52" s="90"/>
    </row>
    <row r="53" spans="1:23" x14ac:dyDescent="0.25">
      <c r="A53" s="93"/>
      <c r="B53" s="93"/>
      <c r="C53" s="93"/>
      <c r="D53" s="93"/>
      <c r="E53" s="93"/>
      <c r="F53" s="90"/>
      <c r="G53" s="90"/>
      <c r="H53" s="93"/>
      <c r="I53" s="90"/>
      <c r="J53" s="90"/>
      <c r="K53" s="90"/>
      <c r="L53" s="93"/>
      <c r="M53" s="93"/>
      <c r="N53" s="93"/>
      <c r="O53" s="93"/>
      <c r="P53" s="93"/>
      <c r="Q53" s="93"/>
      <c r="R53" s="93"/>
      <c r="S53" s="93"/>
      <c r="T53" s="93"/>
      <c r="U53" s="90"/>
      <c r="V53" s="90"/>
      <c r="W53" s="90"/>
    </row>
    <row r="54" spans="1:23" x14ac:dyDescent="0.25">
      <c r="A54" s="93"/>
      <c r="B54" s="93"/>
      <c r="C54" s="93"/>
      <c r="D54" s="93"/>
      <c r="E54" s="93"/>
      <c r="F54" s="90"/>
      <c r="G54" s="90"/>
      <c r="H54" s="93"/>
      <c r="I54" s="90"/>
      <c r="J54" s="90"/>
      <c r="K54" s="90"/>
      <c r="L54" s="93"/>
      <c r="M54" s="93"/>
      <c r="N54" s="93"/>
      <c r="O54" s="93"/>
      <c r="P54" s="93"/>
      <c r="Q54" s="93"/>
      <c r="R54" s="93"/>
      <c r="S54" s="93"/>
      <c r="T54" s="93"/>
      <c r="U54" s="90"/>
      <c r="V54" s="90"/>
      <c r="W54" s="90"/>
    </row>
    <row r="55" spans="1:23" x14ac:dyDescent="0.25">
      <c r="I55" s="90"/>
    </row>
  </sheetData>
  <mergeCells count="18">
    <mergeCell ref="A36:U36"/>
    <mergeCell ref="A38:U38"/>
    <mergeCell ref="A39:U39"/>
    <mergeCell ref="L3:L4"/>
    <mergeCell ref="U3:U4"/>
    <mergeCell ref="A32:E32"/>
    <mergeCell ref="A34:U34"/>
    <mergeCell ref="A35:L35"/>
    <mergeCell ref="V3:V4"/>
    <mergeCell ref="W3:W4"/>
    <mergeCell ref="A10:E10"/>
    <mergeCell ref="A11:E11"/>
    <mergeCell ref="A3:E3"/>
    <mergeCell ref="F3:F4"/>
    <mergeCell ref="G3:G4"/>
    <mergeCell ref="I3:I4"/>
    <mergeCell ref="J3:J4"/>
    <mergeCell ref="K3:K4"/>
  </mergeCells>
  <phoneticPr fontId="22" type="noConversion"/>
  <pageMargins left="0.70866141732283472" right="0.70866141732283472" top="0" bottom="0" header="0" footer="0"/>
  <pageSetup paperSize="9" scale="91" firstPageNumber="4294967295" orientation="landscape" verticalDpi="18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N12"/>
  <sheetViews>
    <sheetView workbookViewId="0">
      <selection activeCell="M4" sqref="M4"/>
    </sheetView>
  </sheetViews>
  <sheetFormatPr defaultRowHeight="15" x14ac:dyDescent="0.25"/>
  <cols>
    <col min="1" max="1" width="38" bestFit="1" customWidth="1"/>
    <col min="2" max="4" width="12.85546875" bestFit="1" customWidth="1"/>
    <col min="5" max="7" width="10.28515625" bestFit="1" customWidth="1"/>
    <col min="8" max="8" width="12.85546875" bestFit="1" customWidth="1"/>
    <col min="9" max="13" width="12.85546875" customWidth="1"/>
    <col min="14" max="14" width="14.5703125" bestFit="1" customWidth="1"/>
  </cols>
  <sheetData>
    <row r="1" spans="1:14" x14ac:dyDescent="0.25">
      <c r="A1" s="155" t="s">
        <v>36</v>
      </c>
      <c r="B1" s="135" t="str">
        <f>'ВСЕ затраты'!B1</f>
        <v>2023-2024гг.</v>
      </c>
      <c r="C1" s="161"/>
      <c r="D1" s="161"/>
      <c r="E1" s="161"/>
      <c r="F1" s="161"/>
      <c r="G1" s="161"/>
      <c r="H1" s="161"/>
      <c r="I1" s="370"/>
      <c r="J1" s="370"/>
      <c r="K1" s="370"/>
      <c r="L1" s="370"/>
      <c r="M1" s="370"/>
      <c r="N1" s="156"/>
    </row>
    <row r="2" spans="1:14" x14ac:dyDescent="0.25">
      <c r="A2" s="156"/>
      <c r="B2" s="172" t="s">
        <v>9</v>
      </c>
      <c r="C2" s="172" t="s">
        <v>14</v>
      </c>
      <c r="D2" s="172" t="s">
        <v>15</v>
      </c>
      <c r="E2" s="172" t="s">
        <v>16</v>
      </c>
      <c r="F2" s="172" t="s">
        <v>17</v>
      </c>
      <c r="G2" s="172" t="s">
        <v>18</v>
      </c>
      <c r="H2" s="172" t="s">
        <v>19</v>
      </c>
      <c r="I2" s="172" t="s">
        <v>4</v>
      </c>
      <c r="J2" s="172" t="s">
        <v>5</v>
      </c>
      <c r="K2" s="172" t="s">
        <v>6</v>
      </c>
      <c r="L2" s="172" t="s">
        <v>7</v>
      </c>
      <c r="M2" s="172" t="s">
        <v>8</v>
      </c>
      <c r="N2" s="172"/>
    </row>
    <row r="3" spans="1:14" x14ac:dyDescent="0.25">
      <c r="A3" s="152" t="s">
        <v>111</v>
      </c>
      <c r="B3" s="179">
        <v>490000</v>
      </c>
      <c r="C3" s="179">
        <v>301000</v>
      </c>
      <c r="D3" s="179">
        <v>155000</v>
      </c>
      <c r="E3" s="179">
        <v>203000</v>
      </c>
      <c r="F3" s="179">
        <v>127600</v>
      </c>
      <c r="G3" s="179">
        <v>185600</v>
      </c>
      <c r="H3" s="179">
        <v>440800</v>
      </c>
      <c r="I3" s="179">
        <v>458200</v>
      </c>
      <c r="J3" s="179">
        <v>400200</v>
      </c>
      <c r="K3" s="179">
        <v>400200</v>
      </c>
      <c r="L3" s="179">
        <v>423400</v>
      </c>
      <c r="M3" s="179">
        <v>469800</v>
      </c>
      <c r="N3" s="179">
        <f>SUM(B3:M3)</f>
        <v>4054800</v>
      </c>
    </row>
    <row r="4" spans="1:14" x14ac:dyDescent="0.25">
      <c r="A4" s="152" t="s">
        <v>112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>
        <f t="shared" ref="N4:N9" si="0">SUM(B4:M4)</f>
        <v>0</v>
      </c>
    </row>
    <row r="5" spans="1:14" x14ac:dyDescent="0.25">
      <c r="A5" s="152" t="s">
        <v>118</v>
      </c>
      <c r="B5" s="179">
        <v>35017.629999999997</v>
      </c>
      <c r="C5" s="179">
        <v>35017.629999999997</v>
      </c>
      <c r="D5" s="179">
        <v>35017.629999999997</v>
      </c>
      <c r="E5" s="179">
        <v>35017.629999999997</v>
      </c>
      <c r="F5" s="179">
        <v>27610.06</v>
      </c>
      <c r="G5" s="179"/>
      <c r="H5" s="179"/>
      <c r="I5" s="179">
        <f>26263.22+26263.22</f>
        <v>52526.44</v>
      </c>
      <c r="J5" s="179"/>
      <c r="K5" s="179">
        <v>26408.62</v>
      </c>
      <c r="L5" s="179">
        <v>29794.34</v>
      </c>
      <c r="M5" s="179"/>
      <c r="N5" s="179">
        <f t="shared" si="0"/>
        <v>276409.98</v>
      </c>
    </row>
    <row r="6" spans="1:14" x14ac:dyDescent="0.25">
      <c r="A6" s="152" t="s">
        <v>292</v>
      </c>
      <c r="B6" s="179"/>
      <c r="C6" s="179"/>
      <c r="D6" s="179"/>
      <c r="E6" s="179"/>
      <c r="F6" s="179"/>
      <c r="G6" s="179">
        <v>67300</v>
      </c>
      <c r="H6" s="179"/>
      <c r="I6" s="179">
        <v>3643.75</v>
      </c>
      <c r="J6" s="179"/>
      <c r="K6" s="179"/>
      <c r="L6" s="179"/>
      <c r="M6" s="179"/>
      <c r="N6" s="179">
        <f t="shared" si="0"/>
        <v>70943.75</v>
      </c>
    </row>
    <row r="7" spans="1:14" x14ac:dyDescent="0.25">
      <c r="A7" s="152" t="s">
        <v>424</v>
      </c>
      <c r="B7" s="179"/>
      <c r="C7" s="179"/>
      <c r="D7" s="179"/>
      <c r="E7" s="179"/>
      <c r="F7" s="179"/>
      <c r="G7" s="179"/>
      <c r="H7" s="179"/>
      <c r="I7" s="179"/>
      <c r="J7" s="179"/>
      <c r="K7" s="179">
        <v>10000</v>
      </c>
      <c r="L7" s="179"/>
      <c r="M7" s="179"/>
      <c r="N7" s="179">
        <f t="shared" si="0"/>
        <v>10000</v>
      </c>
    </row>
    <row r="8" spans="1:14" x14ac:dyDescent="0.25">
      <c r="A8" s="152"/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>
        <f t="shared" si="0"/>
        <v>0</v>
      </c>
    </row>
    <row r="9" spans="1:14" x14ac:dyDescent="0.25">
      <c r="A9" s="152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>
        <f t="shared" si="0"/>
        <v>0</v>
      </c>
    </row>
    <row r="10" spans="1:14" x14ac:dyDescent="0.25">
      <c r="A10" s="155" t="s">
        <v>91</v>
      </c>
      <c r="B10" s="166">
        <f t="shared" ref="B10:M10" si="1">SUM(B3:B9)</f>
        <v>525017.63</v>
      </c>
      <c r="C10" s="166">
        <f t="shared" si="1"/>
        <v>336017.63</v>
      </c>
      <c r="D10" s="166">
        <f t="shared" si="1"/>
        <v>190017.63</v>
      </c>
      <c r="E10" s="166">
        <f t="shared" si="1"/>
        <v>238017.63</v>
      </c>
      <c r="F10" s="166">
        <f t="shared" si="1"/>
        <v>155210.06</v>
      </c>
      <c r="G10" s="166">
        <f t="shared" si="1"/>
        <v>252900</v>
      </c>
      <c r="H10" s="166">
        <f t="shared" si="1"/>
        <v>440800</v>
      </c>
      <c r="I10" s="166">
        <f t="shared" si="1"/>
        <v>514370.19</v>
      </c>
      <c r="J10" s="166">
        <f t="shared" si="1"/>
        <v>400200</v>
      </c>
      <c r="K10" s="166">
        <f t="shared" si="1"/>
        <v>436608.62</v>
      </c>
      <c r="L10" s="166">
        <f t="shared" si="1"/>
        <v>453194.34</v>
      </c>
      <c r="M10" s="166">
        <f t="shared" si="1"/>
        <v>469800</v>
      </c>
      <c r="N10" s="166">
        <f>SUM(N3:N9)</f>
        <v>4412153.7300000004</v>
      </c>
    </row>
    <row r="12" spans="1:14" x14ac:dyDescent="0.25">
      <c r="N12" s="160">
        <f>SUM(B10:M10)-N10</f>
        <v>0</v>
      </c>
    </row>
  </sheetData>
  <phoneticPr fontId="22" type="noConversion"/>
  <pageMargins left="0.25" right="0.25" top="0.75" bottom="0.75" header="0.3" footer="0.3"/>
  <pageSetup paperSize="9" scale="74" firstPageNumber="42949672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N34"/>
  <sheetViews>
    <sheetView workbookViewId="0">
      <selection activeCell="E35" sqref="E35"/>
    </sheetView>
  </sheetViews>
  <sheetFormatPr defaultRowHeight="15" x14ac:dyDescent="0.25"/>
  <cols>
    <col min="1" max="1" width="35.140625" bestFit="1" customWidth="1"/>
    <col min="3" max="3" width="10.28515625" bestFit="1" customWidth="1"/>
    <col min="13" max="13" width="10.28515625" bestFit="1" customWidth="1"/>
    <col min="14" max="14" width="12.85546875" bestFit="1" customWidth="1"/>
  </cols>
  <sheetData>
    <row r="1" spans="1:14" x14ac:dyDescent="0.25">
      <c r="A1" s="155" t="s">
        <v>39</v>
      </c>
      <c r="B1" s="135" t="str">
        <f>'ВСЕ затраты'!B1</f>
        <v>2023-2024гг.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4" x14ac:dyDescent="0.25">
      <c r="A2" s="152"/>
      <c r="B2" s="140" t="s">
        <v>9</v>
      </c>
      <c r="C2" s="138" t="s">
        <v>14</v>
      </c>
      <c r="D2" s="140" t="s">
        <v>15</v>
      </c>
      <c r="E2" s="138" t="s">
        <v>16</v>
      </c>
      <c r="F2" s="140" t="s">
        <v>17</v>
      </c>
      <c r="G2" s="138" t="s">
        <v>18</v>
      </c>
      <c r="H2" s="140" t="s">
        <v>19</v>
      </c>
      <c r="I2" s="138" t="s">
        <v>4</v>
      </c>
      <c r="J2" s="140" t="s">
        <v>5</v>
      </c>
      <c r="K2" s="138" t="s">
        <v>6</v>
      </c>
      <c r="L2" s="140" t="s">
        <v>7</v>
      </c>
      <c r="M2" s="138" t="s">
        <v>8</v>
      </c>
      <c r="N2" s="138" t="s">
        <v>91</v>
      </c>
    </row>
    <row r="3" spans="1:14" x14ac:dyDescent="0.25">
      <c r="A3" s="315" t="s">
        <v>120</v>
      </c>
      <c r="B3" s="314">
        <v>54965</v>
      </c>
      <c r="C3" s="185"/>
      <c r="D3" s="314">
        <v>33876</v>
      </c>
      <c r="E3" s="190"/>
      <c r="F3" s="190"/>
      <c r="G3" s="314">
        <v>32088</v>
      </c>
      <c r="H3" s="190"/>
      <c r="I3" s="190"/>
      <c r="J3" s="372">
        <f>8036+50903</f>
        <v>58939</v>
      </c>
      <c r="K3" s="185"/>
      <c r="L3" s="185"/>
      <c r="M3" s="372">
        <v>114168</v>
      </c>
      <c r="N3" s="179">
        <f t="shared" ref="N3:N31" si="0">SUM(B3:M3)</f>
        <v>294036</v>
      </c>
    </row>
    <row r="4" spans="1:14" x14ac:dyDescent="0.25">
      <c r="A4" s="152" t="s">
        <v>122</v>
      </c>
      <c r="B4" s="190"/>
      <c r="C4" s="185"/>
      <c r="D4" s="190"/>
      <c r="E4" s="190"/>
      <c r="F4" s="190">
        <v>7560</v>
      </c>
      <c r="G4" s="190"/>
      <c r="H4" s="190"/>
      <c r="I4" s="190">
        <v>6240</v>
      </c>
      <c r="J4" s="185"/>
      <c r="K4" s="185">
        <f>6240+6468</f>
        <v>12708</v>
      </c>
      <c r="L4" s="185"/>
      <c r="M4" s="185"/>
      <c r="N4" s="179">
        <f t="shared" si="0"/>
        <v>26508</v>
      </c>
    </row>
    <row r="5" spans="1:14" x14ac:dyDescent="0.25">
      <c r="A5" s="152" t="s">
        <v>189</v>
      </c>
      <c r="B5" s="190"/>
      <c r="C5" s="185">
        <v>32800</v>
      </c>
      <c r="D5" s="190"/>
      <c r="E5" s="190"/>
      <c r="F5" s="190"/>
      <c r="G5" s="190"/>
      <c r="H5" s="190"/>
      <c r="I5" s="190"/>
      <c r="J5" s="185"/>
      <c r="K5" s="185"/>
      <c r="L5" s="185"/>
      <c r="M5" s="185"/>
      <c r="N5" s="179">
        <f t="shared" si="0"/>
        <v>32800</v>
      </c>
    </row>
    <row r="6" spans="1:14" x14ac:dyDescent="0.25">
      <c r="A6" s="177" t="s">
        <v>203</v>
      </c>
      <c r="B6" s="179"/>
      <c r="C6" s="179">
        <v>400</v>
      </c>
      <c r="D6" s="179">
        <v>600</v>
      </c>
      <c r="E6" s="179"/>
      <c r="F6" s="179"/>
      <c r="G6" s="179"/>
      <c r="H6" s="179"/>
      <c r="I6" s="179"/>
      <c r="J6" s="179"/>
      <c r="K6" s="179"/>
      <c r="L6" s="179">
        <v>1006</v>
      </c>
      <c r="M6" s="179"/>
      <c r="N6" s="179">
        <f t="shared" si="0"/>
        <v>2006</v>
      </c>
    </row>
    <row r="7" spans="1:14" x14ac:dyDescent="0.25">
      <c r="A7" s="175" t="s">
        <v>247</v>
      </c>
      <c r="B7" s="179"/>
      <c r="C7" s="179"/>
      <c r="D7" s="179"/>
      <c r="E7" s="179">
        <v>5965</v>
      </c>
      <c r="F7" s="179"/>
      <c r="G7" s="179"/>
      <c r="H7" s="179"/>
      <c r="I7" s="179"/>
      <c r="J7" s="179"/>
      <c r="K7" s="179"/>
      <c r="L7" s="179"/>
      <c r="M7" s="179"/>
      <c r="N7" s="179">
        <f t="shared" si="0"/>
        <v>5965</v>
      </c>
    </row>
    <row r="8" spans="1:14" ht="15" customHeight="1" x14ac:dyDescent="0.25">
      <c r="A8" s="152" t="s">
        <v>264</v>
      </c>
      <c r="B8" s="180"/>
      <c r="C8" s="179"/>
      <c r="D8" s="180"/>
      <c r="E8" s="180"/>
      <c r="F8" s="180">
        <v>40000</v>
      </c>
      <c r="G8" s="180"/>
      <c r="H8" s="180"/>
      <c r="I8" s="180"/>
      <c r="J8" s="179"/>
      <c r="K8" s="179"/>
      <c r="L8" s="179"/>
      <c r="M8" s="179"/>
      <c r="N8" s="179">
        <f t="shared" si="0"/>
        <v>40000</v>
      </c>
    </row>
    <row r="9" spans="1:14" ht="15" customHeight="1" x14ac:dyDescent="0.25">
      <c r="A9" s="174" t="s">
        <v>275</v>
      </c>
      <c r="B9" s="179"/>
      <c r="C9" s="179"/>
      <c r="D9" s="179"/>
      <c r="E9" s="179"/>
      <c r="F9" s="179">
        <v>4208</v>
      </c>
      <c r="G9" s="179"/>
      <c r="H9" s="179"/>
      <c r="I9" s="179"/>
      <c r="J9" s="179"/>
      <c r="K9" s="179"/>
      <c r="L9" s="179"/>
      <c r="M9" s="179"/>
      <c r="N9" s="179">
        <f t="shared" si="0"/>
        <v>4208</v>
      </c>
    </row>
    <row r="10" spans="1:14" ht="15" customHeight="1" x14ac:dyDescent="0.25">
      <c r="A10" s="174" t="s">
        <v>293</v>
      </c>
      <c r="B10" s="179"/>
      <c r="C10" s="179"/>
      <c r="D10" s="179"/>
      <c r="E10" s="179"/>
      <c r="F10" s="179"/>
      <c r="G10" s="179">
        <v>22000</v>
      </c>
      <c r="H10" s="179"/>
      <c r="I10" s="179"/>
      <c r="J10" s="179"/>
      <c r="K10" s="179"/>
      <c r="L10" s="179"/>
      <c r="M10" s="179"/>
      <c r="N10" s="179">
        <f t="shared" si="0"/>
        <v>22000</v>
      </c>
    </row>
    <row r="11" spans="1:14" ht="15" customHeight="1" x14ac:dyDescent="0.25">
      <c r="A11" s="174" t="s">
        <v>305</v>
      </c>
      <c r="B11" s="179"/>
      <c r="C11" s="179"/>
      <c r="D11" s="179"/>
      <c r="E11" s="179"/>
      <c r="F11" s="179"/>
      <c r="G11" s="179">
        <v>580</v>
      </c>
      <c r="H11" s="179"/>
      <c r="I11" s="179"/>
      <c r="J11" s="179"/>
      <c r="K11" s="179"/>
      <c r="L11" s="179"/>
      <c r="M11" s="179"/>
      <c r="N11" s="179">
        <f t="shared" si="0"/>
        <v>580</v>
      </c>
    </row>
    <row r="12" spans="1:14" ht="15" customHeight="1" x14ac:dyDescent="0.25">
      <c r="A12" s="161" t="s">
        <v>315</v>
      </c>
      <c r="B12" s="179"/>
      <c r="C12" s="179"/>
      <c r="D12" s="179"/>
      <c r="E12" s="179"/>
      <c r="F12" s="179"/>
      <c r="G12" s="179">
        <v>4430</v>
      </c>
      <c r="H12" s="179"/>
      <c r="I12" s="179"/>
      <c r="J12" s="179"/>
      <c r="K12" s="179"/>
      <c r="L12" s="179"/>
      <c r="M12" s="179"/>
      <c r="N12" s="179">
        <f t="shared" si="0"/>
        <v>4430</v>
      </c>
    </row>
    <row r="13" spans="1:14" ht="15" customHeight="1" x14ac:dyDescent="0.25">
      <c r="A13" s="161" t="s">
        <v>316</v>
      </c>
      <c r="B13" s="179"/>
      <c r="C13" s="179"/>
      <c r="D13" s="179"/>
      <c r="E13" s="179"/>
      <c r="F13" s="179"/>
      <c r="G13" s="179">
        <v>6520</v>
      </c>
      <c r="H13" s="179"/>
      <c r="I13" s="179"/>
      <c r="J13" s="179"/>
      <c r="K13" s="179"/>
      <c r="L13" s="179"/>
      <c r="M13" s="179"/>
      <c r="N13" s="179">
        <f t="shared" si="0"/>
        <v>6520</v>
      </c>
    </row>
    <row r="14" spans="1:14" ht="15" customHeight="1" x14ac:dyDescent="0.25">
      <c r="A14" s="165" t="s">
        <v>343</v>
      </c>
      <c r="B14" s="179"/>
      <c r="C14" s="179"/>
      <c r="D14" s="179"/>
      <c r="E14" s="179"/>
      <c r="F14" s="179"/>
      <c r="G14" s="179"/>
      <c r="H14" s="179">
        <v>799</v>
      </c>
      <c r="I14" s="179"/>
      <c r="J14" s="179"/>
      <c r="K14" s="179"/>
      <c r="L14" s="179"/>
      <c r="M14" s="179"/>
      <c r="N14" s="179">
        <f t="shared" si="0"/>
        <v>799</v>
      </c>
    </row>
    <row r="15" spans="1:14" ht="15" customHeight="1" x14ac:dyDescent="0.25">
      <c r="A15" s="152" t="s">
        <v>344</v>
      </c>
      <c r="B15" s="179"/>
      <c r="C15" s="179"/>
      <c r="D15" s="179"/>
      <c r="E15" s="179"/>
      <c r="F15" s="179"/>
      <c r="G15" s="179"/>
      <c r="H15" s="179">
        <v>432</v>
      </c>
      <c r="I15" s="179"/>
      <c r="J15" s="179"/>
      <c r="K15" s="179"/>
      <c r="L15" s="179"/>
      <c r="M15" s="179"/>
      <c r="N15" s="179">
        <f t="shared" si="0"/>
        <v>432</v>
      </c>
    </row>
    <row r="16" spans="1:14" ht="15" customHeight="1" x14ac:dyDescent="0.25">
      <c r="A16" s="152" t="s">
        <v>356</v>
      </c>
      <c r="B16" s="179"/>
      <c r="C16" s="179"/>
      <c r="D16" s="179"/>
      <c r="E16" s="179"/>
      <c r="F16" s="179"/>
      <c r="G16" s="179"/>
      <c r="H16" s="179"/>
      <c r="I16" s="179">
        <f>40000+20000</f>
        <v>60000</v>
      </c>
      <c r="J16" s="179"/>
      <c r="K16" s="179"/>
      <c r="L16" s="179"/>
      <c r="M16" s="179"/>
      <c r="N16" s="179">
        <f t="shared" si="0"/>
        <v>60000</v>
      </c>
    </row>
    <row r="17" spans="1:14" ht="15" customHeight="1" x14ac:dyDescent="0.25">
      <c r="A17" s="152" t="s">
        <v>360</v>
      </c>
      <c r="B17" s="179"/>
      <c r="C17" s="179"/>
      <c r="D17" s="179"/>
      <c r="E17" s="179"/>
      <c r="F17" s="179"/>
      <c r="G17" s="179"/>
      <c r="H17" s="179"/>
      <c r="I17" s="179">
        <v>1500</v>
      </c>
      <c r="J17" s="179"/>
      <c r="K17" s="179"/>
      <c r="L17" s="179"/>
      <c r="M17" s="179"/>
      <c r="N17" s="179">
        <f t="shared" si="0"/>
        <v>1500</v>
      </c>
    </row>
    <row r="18" spans="1:14" ht="15" customHeight="1" x14ac:dyDescent="0.25">
      <c r="A18" s="152" t="s">
        <v>360</v>
      </c>
      <c r="B18" s="179"/>
      <c r="C18" s="179"/>
      <c r="D18" s="179"/>
      <c r="E18" s="179"/>
      <c r="F18" s="179"/>
      <c r="G18" s="179"/>
      <c r="H18" s="179"/>
      <c r="I18" s="179">
        <v>950</v>
      </c>
      <c r="J18" s="179"/>
      <c r="K18" s="179"/>
      <c r="L18" s="179"/>
      <c r="M18" s="179"/>
      <c r="N18" s="179">
        <f t="shared" si="0"/>
        <v>950</v>
      </c>
    </row>
    <row r="19" spans="1:14" ht="15" customHeight="1" x14ac:dyDescent="0.25">
      <c r="A19" s="152" t="s">
        <v>361</v>
      </c>
      <c r="B19" s="179"/>
      <c r="C19" s="179"/>
      <c r="D19" s="179"/>
      <c r="E19" s="179"/>
      <c r="F19" s="179"/>
      <c r="G19" s="179"/>
      <c r="H19" s="179"/>
      <c r="I19" s="179">
        <v>3700</v>
      </c>
      <c r="J19" s="179"/>
      <c r="K19" s="179"/>
      <c r="L19" s="179"/>
      <c r="M19" s="179"/>
      <c r="N19" s="179">
        <f t="shared" si="0"/>
        <v>3700</v>
      </c>
    </row>
    <row r="20" spans="1:14" ht="15" customHeight="1" x14ac:dyDescent="0.25">
      <c r="A20" s="152" t="s">
        <v>365</v>
      </c>
      <c r="B20" s="179"/>
      <c r="C20" s="179"/>
      <c r="D20" s="179"/>
      <c r="E20" s="179"/>
      <c r="F20" s="179"/>
      <c r="G20" s="179"/>
      <c r="H20" s="179"/>
      <c r="I20" s="179">
        <v>795</v>
      </c>
      <c r="J20" s="179"/>
      <c r="K20" s="179"/>
      <c r="L20" s="179"/>
      <c r="M20" s="179"/>
      <c r="N20" s="179">
        <f t="shared" si="0"/>
        <v>795</v>
      </c>
    </row>
    <row r="21" spans="1:14" ht="15" customHeight="1" x14ac:dyDescent="0.25">
      <c r="A21" s="152" t="s">
        <v>203</v>
      </c>
      <c r="B21" s="179"/>
      <c r="C21" s="179"/>
      <c r="D21" s="179"/>
      <c r="E21" s="179"/>
      <c r="F21" s="179"/>
      <c r="G21" s="179"/>
      <c r="H21" s="179"/>
      <c r="I21" s="179">
        <v>500</v>
      </c>
      <c r="J21" s="179"/>
      <c r="K21" s="179"/>
      <c r="L21" s="179"/>
      <c r="M21" s="179"/>
      <c r="N21" s="179">
        <f t="shared" si="0"/>
        <v>500</v>
      </c>
    </row>
    <row r="22" spans="1:14" ht="15" customHeight="1" x14ac:dyDescent="0.25">
      <c r="A22" s="152" t="s">
        <v>366</v>
      </c>
      <c r="B22" s="179"/>
      <c r="C22" s="179"/>
      <c r="D22" s="179"/>
      <c r="E22" s="179"/>
      <c r="F22" s="179"/>
      <c r="G22" s="179"/>
      <c r="H22" s="179"/>
      <c r="I22" s="179">
        <v>450</v>
      </c>
      <c r="J22" s="179"/>
      <c r="K22" s="179"/>
      <c r="L22" s="179"/>
      <c r="M22" s="179"/>
      <c r="N22" s="179">
        <f t="shared" si="0"/>
        <v>450</v>
      </c>
    </row>
    <row r="23" spans="1:14" ht="15" customHeight="1" x14ac:dyDescent="0.25">
      <c r="A23" s="152" t="s">
        <v>367</v>
      </c>
      <c r="B23" s="179"/>
      <c r="C23" s="179"/>
      <c r="D23" s="179"/>
      <c r="E23" s="179"/>
      <c r="F23" s="179"/>
      <c r="G23" s="179"/>
      <c r="H23" s="179"/>
      <c r="I23" s="179"/>
      <c r="J23" s="179">
        <v>6000</v>
      </c>
      <c r="K23" s="179"/>
      <c r="L23" s="179"/>
      <c r="M23" s="179"/>
      <c r="N23" s="179">
        <f t="shared" si="0"/>
        <v>6000</v>
      </c>
    </row>
    <row r="24" spans="1:14" ht="15" customHeight="1" x14ac:dyDescent="0.25">
      <c r="A24" s="152" t="s">
        <v>417</v>
      </c>
      <c r="B24" s="179"/>
      <c r="C24" s="179"/>
      <c r="D24" s="179"/>
      <c r="E24" s="179"/>
      <c r="F24" s="179"/>
      <c r="G24" s="179"/>
      <c r="H24" s="179"/>
      <c r="I24" s="179"/>
      <c r="J24" s="179"/>
      <c r="K24" s="179">
        <v>428</v>
      </c>
      <c r="L24" s="179"/>
      <c r="M24" s="179"/>
      <c r="N24" s="179">
        <f t="shared" si="0"/>
        <v>428</v>
      </c>
    </row>
    <row r="25" spans="1:14" ht="15" customHeight="1" x14ac:dyDescent="0.25">
      <c r="A25" s="152" t="s">
        <v>435</v>
      </c>
      <c r="B25" s="179"/>
      <c r="C25" s="179"/>
      <c r="D25" s="179"/>
      <c r="E25" s="179"/>
      <c r="F25" s="179"/>
      <c r="G25" s="179"/>
      <c r="H25" s="179"/>
      <c r="I25" s="179"/>
      <c r="J25" s="179"/>
      <c r="K25" s="179"/>
      <c r="L25" s="179">
        <f>2400+3194</f>
        <v>5594</v>
      </c>
      <c r="M25" s="179"/>
      <c r="N25" s="179">
        <f t="shared" si="0"/>
        <v>5594</v>
      </c>
    </row>
    <row r="26" spans="1:14" ht="15" customHeight="1" x14ac:dyDescent="0.25">
      <c r="A26" s="176" t="s">
        <v>436</v>
      </c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>
        <f>7500+750</f>
        <v>8250</v>
      </c>
      <c r="M26" s="179"/>
      <c r="N26" s="179">
        <f t="shared" si="0"/>
        <v>8250</v>
      </c>
    </row>
    <row r="27" spans="1:14" ht="15" customHeight="1" x14ac:dyDescent="0.25">
      <c r="A27" s="152" t="s">
        <v>437</v>
      </c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>
        <v>756</v>
      </c>
      <c r="M27" s="179"/>
      <c r="N27" s="179">
        <f t="shared" si="0"/>
        <v>756</v>
      </c>
    </row>
    <row r="28" spans="1:14" ht="15" customHeight="1" x14ac:dyDescent="0.25">
      <c r="A28" s="152" t="s">
        <v>248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>
        <v>160</v>
      </c>
      <c r="M28" s="179"/>
      <c r="N28" s="179">
        <f t="shared" si="0"/>
        <v>160</v>
      </c>
    </row>
    <row r="29" spans="1:14" ht="15" customHeight="1" x14ac:dyDescent="0.25">
      <c r="A29" s="152" t="s">
        <v>472</v>
      </c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>
        <f>6278</f>
        <v>6278</v>
      </c>
      <c r="N29" s="179">
        <f t="shared" ref="N29" si="1">SUM(B29:M29)</f>
        <v>6278</v>
      </c>
    </row>
    <row r="30" spans="1:14" ht="15" customHeight="1" x14ac:dyDescent="0.25">
      <c r="A30" s="152" t="s">
        <v>473</v>
      </c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>
        <v>2800</v>
      </c>
      <c r="N30" s="179">
        <f t="shared" si="0"/>
        <v>2800</v>
      </c>
    </row>
    <row r="31" spans="1:14" ht="15" customHeight="1" x14ac:dyDescent="0.25">
      <c r="A31" s="152" t="s">
        <v>481</v>
      </c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>
        <v>150</v>
      </c>
      <c r="N31" s="179">
        <f t="shared" si="0"/>
        <v>150</v>
      </c>
    </row>
    <row r="32" spans="1:14" ht="15" customHeight="1" x14ac:dyDescent="0.25">
      <c r="A32" s="155" t="s">
        <v>91</v>
      </c>
      <c r="B32" s="153">
        <f t="shared" ref="B32:N32" si="2">SUM(B3:B31)</f>
        <v>54965</v>
      </c>
      <c r="C32" s="153">
        <f t="shared" si="2"/>
        <v>33200</v>
      </c>
      <c r="D32" s="153">
        <f t="shared" si="2"/>
        <v>34476</v>
      </c>
      <c r="E32" s="153">
        <f t="shared" si="2"/>
        <v>5965</v>
      </c>
      <c r="F32" s="153">
        <f t="shared" si="2"/>
        <v>51768</v>
      </c>
      <c r="G32" s="153">
        <f t="shared" si="2"/>
        <v>65618</v>
      </c>
      <c r="H32" s="153">
        <f t="shared" si="2"/>
        <v>1231</v>
      </c>
      <c r="I32" s="153">
        <f t="shared" si="2"/>
        <v>74135</v>
      </c>
      <c r="J32" s="153">
        <f t="shared" si="2"/>
        <v>64939</v>
      </c>
      <c r="K32" s="153">
        <f t="shared" si="2"/>
        <v>13136</v>
      </c>
      <c r="L32" s="153">
        <f t="shared" si="2"/>
        <v>15766</v>
      </c>
      <c r="M32" s="153">
        <f t="shared" si="2"/>
        <v>123396</v>
      </c>
      <c r="N32" s="153">
        <f>SUM(N3:N31)</f>
        <v>538595</v>
      </c>
    </row>
    <row r="33" spans="14:14" ht="15" customHeight="1" x14ac:dyDescent="0.25"/>
    <row r="34" spans="14:14" x14ac:dyDescent="0.25">
      <c r="N34" s="160">
        <f>SUM(B32:M32)-N32</f>
        <v>0</v>
      </c>
    </row>
  </sheetData>
  <phoneticPr fontId="22" type="noConversion"/>
  <pageMargins left="0.25" right="0.25" top="0.75" bottom="0.75" header="0.3" footer="0.3"/>
  <pageSetup paperSize="9" scale="85" firstPageNumber="42949672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O67"/>
  <sheetViews>
    <sheetView topLeftCell="A43" workbookViewId="0">
      <selection activeCell="M4" sqref="M4"/>
    </sheetView>
  </sheetViews>
  <sheetFormatPr defaultRowHeight="14.25" x14ac:dyDescent="0.2"/>
  <cols>
    <col min="1" max="1" width="38.7109375" style="343" bestFit="1" customWidth="1"/>
    <col min="2" max="2" width="11.7109375" style="351" bestFit="1" customWidth="1"/>
    <col min="3" max="3" width="10.42578125" style="343" bestFit="1" customWidth="1"/>
    <col min="4" max="4" width="10.28515625" style="343" bestFit="1" customWidth="1"/>
    <col min="5" max="5" width="10.42578125" style="343" bestFit="1" customWidth="1"/>
    <col min="6" max="6" width="10.28515625" style="343" bestFit="1" customWidth="1"/>
    <col min="7" max="7" width="9" style="343" customWidth="1"/>
    <col min="8" max="8" width="10.42578125" style="343" bestFit="1" customWidth="1"/>
    <col min="9" max="9" width="11.5703125" style="343" bestFit="1" customWidth="1"/>
    <col min="10" max="11" width="10.42578125" style="343" bestFit="1" customWidth="1"/>
    <col min="12" max="13" width="9.28515625" style="343" bestFit="1" customWidth="1"/>
    <col min="14" max="14" width="12" style="343" bestFit="1" customWidth="1"/>
    <col min="15" max="16384" width="9.140625" style="343"/>
  </cols>
  <sheetData>
    <row r="1" spans="1:15" x14ac:dyDescent="0.2">
      <c r="A1" s="339" t="s">
        <v>113</v>
      </c>
      <c r="B1" s="340" t="str">
        <f>'ВСЕ затраты'!B1</f>
        <v>2023-2024гг.</v>
      </c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2"/>
    </row>
    <row r="2" spans="1:15" x14ac:dyDescent="0.2">
      <c r="A2" s="342"/>
      <c r="B2" s="344" t="s">
        <v>9</v>
      </c>
      <c r="C2" s="345" t="s">
        <v>14</v>
      </c>
      <c r="D2" s="344" t="s">
        <v>15</v>
      </c>
      <c r="E2" s="345" t="s">
        <v>16</v>
      </c>
      <c r="F2" s="344" t="s">
        <v>17</v>
      </c>
      <c r="G2" s="345" t="s">
        <v>18</v>
      </c>
      <c r="H2" s="344" t="s">
        <v>19</v>
      </c>
      <c r="I2" s="345" t="s">
        <v>4</v>
      </c>
      <c r="J2" s="344" t="s">
        <v>5</v>
      </c>
      <c r="K2" s="345" t="s">
        <v>6</v>
      </c>
      <c r="L2" s="344" t="s">
        <v>7</v>
      </c>
      <c r="M2" s="345" t="s">
        <v>8</v>
      </c>
      <c r="N2" s="345" t="s">
        <v>91</v>
      </c>
    </row>
    <row r="3" spans="1:15" x14ac:dyDescent="0.2">
      <c r="A3" s="346" t="s">
        <v>188</v>
      </c>
      <c r="B3" s="347"/>
      <c r="C3" s="353">
        <v>16300</v>
      </c>
      <c r="D3" s="347"/>
      <c r="E3" s="347">
        <v>16300</v>
      </c>
      <c r="F3" s="347">
        <v>16300</v>
      </c>
      <c r="G3" s="347"/>
      <c r="H3" s="347">
        <v>16300</v>
      </c>
      <c r="I3" s="347">
        <f>129320</f>
        <v>129320</v>
      </c>
      <c r="J3" s="347">
        <v>16300</v>
      </c>
      <c r="K3" s="347">
        <v>16300</v>
      </c>
      <c r="L3" s="347"/>
      <c r="M3" s="348">
        <v>16300</v>
      </c>
      <c r="N3" s="348">
        <f t="shared" ref="N3:N64" si="0">SUM(B3:M3)</f>
        <v>243420</v>
      </c>
    </row>
    <row r="4" spans="1:15" x14ac:dyDescent="0.2">
      <c r="A4" s="349" t="s">
        <v>153</v>
      </c>
      <c r="B4" s="348">
        <v>4000</v>
      </c>
      <c r="C4" s="348"/>
      <c r="D4" s="348"/>
      <c r="E4" s="348"/>
      <c r="F4" s="348"/>
      <c r="G4" s="348">
        <v>6000</v>
      </c>
      <c r="H4" s="348"/>
      <c r="I4" s="348"/>
      <c r="J4" s="348">
        <v>6000</v>
      </c>
      <c r="K4" s="348">
        <v>6000</v>
      </c>
      <c r="L4" s="348"/>
      <c r="M4" s="348">
        <v>35318.5</v>
      </c>
      <c r="N4" s="348">
        <f t="shared" si="0"/>
        <v>57318.5</v>
      </c>
    </row>
    <row r="5" spans="1:15" x14ac:dyDescent="0.2">
      <c r="A5" s="349" t="s">
        <v>130</v>
      </c>
      <c r="B5" s="348">
        <v>13740</v>
      </c>
      <c r="C5" s="348"/>
      <c r="D5" s="348"/>
      <c r="E5" s="348"/>
      <c r="F5" s="348"/>
      <c r="G5" s="348"/>
      <c r="H5" s="348"/>
      <c r="I5" s="348"/>
      <c r="J5" s="348"/>
      <c r="K5" s="348"/>
      <c r="L5" s="348"/>
      <c r="M5" s="348"/>
      <c r="N5" s="348">
        <f t="shared" si="0"/>
        <v>13740</v>
      </c>
    </row>
    <row r="6" spans="1:15" x14ac:dyDescent="0.2">
      <c r="A6" s="349" t="s">
        <v>159</v>
      </c>
      <c r="B6" s="348">
        <v>400</v>
      </c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  <c r="N6" s="348">
        <f t="shared" si="0"/>
        <v>400</v>
      </c>
    </row>
    <row r="7" spans="1:15" x14ac:dyDescent="0.2">
      <c r="A7" s="349" t="s">
        <v>158</v>
      </c>
      <c r="B7" s="348">
        <v>2590</v>
      </c>
      <c r="C7" s="348"/>
      <c r="D7" s="348"/>
      <c r="E7" s="348"/>
      <c r="F7" s="348"/>
      <c r="G7" s="348"/>
      <c r="H7" s="348"/>
      <c r="I7" s="348"/>
      <c r="J7" s="348"/>
      <c r="K7" s="348"/>
      <c r="L7" s="348"/>
      <c r="M7" s="348"/>
      <c r="N7" s="348">
        <f t="shared" si="0"/>
        <v>2590</v>
      </c>
    </row>
    <row r="8" spans="1:15" x14ac:dyDescent="0.2">
      <c r="A8" s="349" t="s">
        <v>167</v>
      </c>
      <c r="B8" s="348">
        <f>770+610</f>
        <v>1380</v>
      </c>
      <c r="C8" s="348"/>
      <c r="D8" s="348"/>
      <c r="E8" s="348"/>
      <c r="F8" s="348"/>
      <c r="G8" s="348"/>
      <c r="H8" s="348"/>
      <c r="I8" s="348"/>
      <c r="J8" s="348"/>
      <c r="K8" s="348"/>
      <c r="L8" s="348"/>
      <c r="M8" s="348"/>
      <c r="N8" s="348">
        <f t="shared" si="0"/>
        <v>1380</v>
      </c>
    </row>
    <row r="9" spans="1:15" x14ac:dyDescent="0.2">
      <c r="A9" s="349" t="s">
        <v>168</v>
      </c>
      <c r="B9" s="348">
        <v>12495</v>
      </c>
      <c r="C9" s="348"/>
      <c r="D9" s="348"/>
      <c r="E9" s="348"/>
      <c r="F9" s="348"/>
      <c r="G9" s="348"/>
      <c r="H9" s="348"/>
      <c r="I9" s="348"/>
      <c r="J9" s="348"/>
      <c r="K9" s="348"/>
      <c r="L9" s="348"/>
      <c r="M9" s="348"/>
      <c r="N9" s="348">
        <f t="shared" si="0"/>
        <v>12495</v>
      </c>
    </row>
    <row r="10" spans="1:15" x14ac:dyDescent="0.2">
      <c r="A10" s="349" t="s">
        <v>169</v>
      </c>
      <c r="B10" s="348">
        <v>780</v>
      </c>
      <c r="C10" s="348"/>
      <c r="D10" s="348"/>
      <c r="E10" s="348"/>
      <c r="F10" s="348"/>
      <c r="G10" s="348"/>
      <c r="H10" s="348"/>
      <c r="I10" s="348"/>
      <c r="J10" s="348"/>
      <c r="K10" s="348"/>
      <c r="L10" s="348"/>
      <c r="M10" s="348"/>
      <c r="N10" s="348">
        <f t="shared" si="0"/>
        <v>780</v>
      </c>
    </row>
    <row r="11" spans="1:15" x14ac:dyDescent="0.2">
      <c r="A11" s="349" t="s">
        <v>190</v>
      </c>
      <c r="B11" s="348"/>
      <c r="C11" s="348">
        <v>18963</v>
      </c>
      <c r="D11" s="348"/>
      <c r="E11" s="348"/>
      <c r="F11" s="348"/>
      <c r="G11" s="348"/>
      <c r="H11" s="348"/>
      <c r="I11" s="348"/>
      <c r="J11" s="348"/>
      <c r="K11" s="348"/>
      <c r="L11" s="348"/>
      <c r="M11" s="348"/>
      <c r="N11" s="348">
        <f t="shared" si="0"/>
        <v>18963</v>
      </c>
    </row>
    <row r="12" spans="1:15" x14ac:dyDescent="0.2">
      <c r="A12" s="349" t="s">
        <v>190</v>
      </c>
      <c r="B12" s="348"/>
      <c r="C12" s="348">
        <v>33468.879999999997</v>
      </c>
      <c r="D12" s="348"/>
      <c r="E12" s="348"/>
      <c r="F12" s="348"/>
      <c r="G12" s="348"/>
      <c r="H12" s="348"/>
      <c r="I12" s="348"/>
      <c r="J12" s="348"/>
      <c r="K12" s="348"/>
      <c r="L12" s="348"/>
      <c r="M12" s="348"/>
      <c r="N12" s="348">
        <f t="shared" si="0"/>
        <v>33468.879999999997</v>
      </c>
    </row>
    <row r="13" spans="1:15" x14ac:dyDescent="0.2">
      <c r="A13" s="349" t="s">
        <v>192</v>
      </c>
      <c r="B13" s="348"/>
      <c r="C13" s="348">
        <v>25500</v>
      </c>
      <c r="D13" s="348"/>
      <c r="E13" s="348"/>
      <c r="F13" s="348"/>
      <c r="G13" s="348"/>
      <c r="H13" s="348"/>
      <c r="I13" s="348"/>
      <c r="J13" s="348"/>
      <c r="K13" s="348"/>
      <c r="L13" s="348"/>
      <c r="M13" s="348"/>
      <c r="N13" s="348">
        <f t="shared" si="0"/>
        <v>25500</v>
      </c>
    </row>
    <row r="14" spans="1:15" x14ac:dyDescent="0.2">
      <c r="A14" s="349" t="s">
        <v>193</v>
      </c>
      <c r="B14" s="348"/>
      <c r="C14" s="348">
        <v>28000</v>
      </c>
      <c r="D14" s="348"/>
      <c r="E14" s="348"/>
      <c r="F14" s="348"/>
      <c r="G14" s="348"/>
      <c r="H14" s="348"/>
      <c r="I14" s="348"/>
      <c r="J14" s="348"/>
      <c r="K14" s="348"/>
      <c r="L14" s="348"/>
      <c r="M14" s="348"/>
      <c r="N14" s="348">
        <f t="shared" si="0"/>
        <v>28000</v>
      </c>
    </row>
    <row r="15" spans="1:15" x14ac:dyDescent="0.2">
      <c r="A15" s="349" t="s">
        <v>194</v>
      </c>
      <c r="B15" s="348"/>
      <c r="C15" s="348">
        <v>53424</v>
      </c>
      <c r="D15" s="348"/>
      <c r="E15" s="348"/>
      <c r="F15" s="348"/>
      <c r="G15" s="348"/>
      <c r="H15" s="348"/>
      <c r="I15" s="348"/>
      <c r="J15" s="348"/>
      <c r="K15" s="348"/>
      <c r="L15" s="348"/>
      <c r="M15" s="348"/>
      <c r="N15" s="348">
        <f t="shared" si="0"/>
        <v>53424</v>
      </c>
      <c r="O15" s="343" t="s">
        <v>237</v>
      </c>
    </row>
    <row r="16" spans="1:15" x14ac:dyDescent="0.2">
      <c r="A16" s="349" t="s">
        <v>144</v>
      </c>
      <c r="B16" s="348"/>
      <c r="C16" s="348">
        <v>85</v>
      </c>
      <c r="D16" s="348"/>
      <c r="E16" s="348"/>
      <c r="F16" s="348"/>
      <c r="G16" s="348"/>
      <c r="H16" s="348"/>
      <c r="I16" s="348"/>
      <c r="J16" s="348"/>
      <c r="K16" s="348"/>
      <c r="L16" s="348"/>
      <c r="M16" s="348"/>
      <c r="N16" s="348">
        <f t="shared" si="0"/>
        <v>85</v>
      </c>
    </row>
    <row r="17" spans="1:14" x14ac:dyDescent="0.2">
      <c r="A17" s="349" t="s">
        <v>204</v>
      </c>
      <c r="B17" s="348"/>
      <c r="C17" s="348">
        <v>2000</v>
      </c>
      <c r="D17" s="348"/>
      <c r="E17" s="348"/>
      <c r="F17" s="348"/>
      <c r="G17" s="348"/>
      <c r="H17" s="348"/>
      <c r="I17" s="348"/>
      <c r="J17" s="348"/>
      <c r="K17" s="348"/>
      <c r="L17" s="348"/>
      <c r="M17" s="348"/>
      <c r="N17" s="348">
        <f t="shared" si="0"/>
        <v>2000</v>
      </c>
    </row>
    <row r="18" spans="1:14" x14ac:dyDescent="0.2">
      <c r="A18" s="349" t="s">
        <v>225</v>
      </c>
      <c r="B18" s="348"/>
      <c r="C18" s="348"/>
      <c r="D18" s="348">
        <v>300</v>
      </c>
      <c r="E18" s="348"/>
      <c r="F18" s="348"/>
      <c r="G18" s="348"/>
      <c r="H18" s="348"/>
      <c r="I18" s="348"/>
      <c r="J18" s="348"/>
      <c r="K18" s="348"/>
      <c r="L18" s="348"/>
      <c r="M18" s="348"/>
      <c r="N18" s="348">
        <f t="shared" si="0"/>
        <v>300</v>
      </c>
    </row>
    <row r="19" spans="1:14" x14ac:dyDescent="0.2">
      <c r="A19" s="349" t="s">
        <v>226</v>
      </c>
      <c r="B19" s="348"/>
      <c r="C19" s="348"/>
      <c r="D19" s="348">
        <v>1820</v>
      </c>
      <c r="E19" s="348"/>
      <c r="F19" s="348"/>
      <c r="G19" s="348"/>
      <c r="H19" s="348"/>
      <c r="I19" s="348"/>
      <c r="J19" s="348"/>
      <c r="K19" s="348"/>
      <c r="L19" s="348"/>
      <c r="M19" s="348"/>
      <c r="N19" s="348">
        <f t="shared" si="0"/>
        <v>1820</v>
      </c>
    </row>
    <row r="20" spans="1:14" x14ac:dyDescent="0.2">
      <c r="A20" s="349" t="s">
        <v>228</v>
      </c>
      <c r="B20" s="348"/>
      <c r="C20" s="348"/>
      <c r="D20" s="348">
        <v>344</v>
      </c>
      <c r="E20" s="348"/>
      <c r="F20" s="348"/>
      <c r="G20" s="348"/>
      <c r="H20" s="348"/>
      <c r="I20" s="348"/>
      <c r="J20" s="348"/>
      <c r="K20" s="348"/>
      <c r="L20" s="348"/>
      <c r="M20" s="348"/>
      <c r="N20" s="348">
        <f t="shared" si="0"/>
        <v>344</v>
      </c>
    </row>
    <row r="21" spans="1:14" x14ac:dyDescent="0.2">
      <c r="A21" s="349" t="s">
        <v>243</v>
      </c>
      <c r="B21" s="348"/>
      <c r="C21" s="348"/>
      <c r="D21" s="348"/>
      <c r="E21" s="348">
        <v>32400</v>
      </c>
      <c r="F21" s="348"/>
      <c r="G21" s="348"/>
      <c r="H21" s="348"/>
      <c r="I21" s="348"/>
      <c r="J21" s="348"/>
      <c r="K21" s="348"/>
      <c r="L21" s="348"/>
      <c r="M21" s="348"/>
      <c r="N21" s="348">
        <f t="shared" si="0"/>
        <v>32400</v>
      </c>
    </row>
    <row r="22" spans="1:14" x14ac:dyDescent="0.2">
      <c r="A22" s="349" t="s">
        <v>256</v>
      </c>
      <c r="B22" s="348"/>
      <c r="C22" s="348"/>
      <c r="D22" s="348"/>
      <c r="E22" s="348">
        <v>1400</v>
      </c>
      <c r="F22" s="348">
        <f>1900+420</f>
        <v>2320</v>
      </c>
      <c r="G22" s="348"/>
      <c r="H22" s="348"/>
      <c r="I22" s="348"/>
      <c r="J22" s="348"/>
      <c r="K22" s="348"/>
      <c r="L22" s="348"/>
      <c r="M22" s="348"/>
      <c r="N22" s="348">
        <f t="shared" si="0"/>
        <v>3720</v>
      </c>
    </row>
    <row r="23" spans="1:14" x14ac:dyDescent="0.2">
      <c r="A23" s="349" t="s">
        <v>257</v>
      </c>
      <c r="B23" s="348"/>
      <c r="C23" s="348"/>
      <c r="D23" s="348"/>
      <c r="E23" s="348">
        <f>570+462</f>
        <v>1032</v>
      </c>
      <c r="F23" s="348"/>
      <c r="G23" s="348"/>
      <c r="H23" s="348"/>
      <c r="I23" s="348"/>
      <c r="J23" s="348"/>
      <c r="K23" s="348"/>
      <c r="L23" s="348"/>
      <c r="M23" s="348"/>
      <c r="N23" s="348">
        <f t="shared" si="0"/>
        <v>1032</v>
      </c>
    </row>
    <row r="24" spans="1:14" x14ac:dyDescent="0.2">
      <c r="A24" s="349" t="s">
        <v>258</v>
      </c>
      <c r="B24" s="348"/>
      <c r="C24" s="348"/>
      <c r="D24" s="348"/>
      <c r="E24" s="348">
        <v>4600</v>
      </c>
      <c r="F24" s="348"/>
      <c r="G24" s="348"/>
      <c r="H24" s="348"/>
      <c r="I24" s="348"/>
      <c r="J24" s="348"/>
      <c r="K24" s="348"/>
      <c r="L24" s="348"/>
      <c r="M24" s="348"/>
      <c r="N24" s="348">
        <f t="shared" si="0"/>
        <v>4600</v>
      </c>
    </row>
    <row r="25" spans="1:14" x14ac:dyDescent="0.2">
      <c r="A25" s="349" t="s">
        <v>259</v>
      </c>
      <c r="B25" s="348"/>
      <c r="C25" s="348"/>
      <c r="D25" s="348"/>
      <c r="E25" s="348">
        <v>1300</v>
      </c>
      <c r="F25" s="348"/>
      <c r="G25" s="348"/>
      <c r="H25" s="348"/>
      <c r="I25" s="348"/>
      <c r="J25" s="348"/>
      <c r="K25" s="348"/>
      <c r="L25" s="348"/>
      <c r="M25" s="348"/>
      <c r="N25" s="348">
        <f t="shared" si="0"/>
        <v>1300</v>
      </c>
    </row>
    <row r="26" spans="1:14" x14ac:dyDescent="0.2">
      <c r="A26" s="349" t="s">
        <v>261</v>
      </c>
      <c r="B26" s="348"/>
      <c r="C26" s="348"/>
      <c r="D26" s="348"/>
      <c r="E26" s="348">
        <v>1340</v>
      </c>
      <c r="F26" s="348"/>
      <c r="G26" s="348"/>
      <c r="H26" s="348"/>
      <c r="I26" s="348"/>
      <c r="J26" s="348"/>
      <c r="K26" s="348"/>
      <c r="L26" s="348"/>
      <c r="M26" s="348"/>
      <c r="N26" s="348">
        <f t="shared" si="0"/>
        <v>1340</v>
      </c>
    </row>
    <row r="27" spans="1:14" x14ac:dyDescent="0.2">
      <c r="A27" s="349" t="s">
        <v>260</v>
      </c>
      <c r="B27" s="348"/>
      <c r="C27" s="348"/>
      <c r="D27" s="348"/>
      <c r="E27" s="348">
        <v>800</v>
      </c>
      <c r="F27" s="348"/>
      <c r="G27" s="348"/>
      <c r="H27" s="348"/>
      <c r="I27" s="348"/>
      <c r="J27" s="348"/>
      <c r="K27" s="348"/>
      <c r="L27" s="348"/>
      <c r="M27" s="348"/>
      <c r="N27" s="348">
        <f t="shared" si="0"/>
        <v>800</v>
      </c>
    </row>
    <row r="28" spans="1:14" x14ac:dyDescent="0.2">
      <c r="A28" s="359" t="s">
        <v>263</v>
      </c>
      <c r="B28" s="360"/>
      <c r="C28" s="360"/>
      <c r="D28" s="360"/>
      <c r="E28" s="360"/>
      <c r="F28" s="360">
        <f>-30000-99400-104428</f>
        <v>-233828</v>
      </c>
      <c r="G28" s="360"/>
      <c r="H28" s="360"/>
      <c r="I28" s="360"/>
      <c r="J28" s="360"/>
      <c r="K28" s="360"/>
      <c r="L28" s="360"/>
      <c r="M28" s="360"/>
      <c r="N28" s="360">
        <f t="shared" si="0"/>
        <v>-233828</v>
      </c>
    </row>
    <row r="29" spans="1:14" x14ac:dyDescent="0.2">
      <c r="A29" s="349" t="s">
        <v>268</v>
      </c>
      <c r="B29" s="348"/>
      <c r="C29" s="348"/>
      <c r="D29" s="348"/>
      <c r="E29" s="348"/>
      <c r="F29" s="348">
        <v>26819.599999999999</v>
      </c>
      <c r="G29" s="348"/>
      <c r="H29" s="348"/>
      <c r="I29" s="348"/>
      <c r="J29" s="348"/>
      <c r="K29" s="348"/>
      <c r="L29" s="348"/>
      <c r="M29" s="348"/>
      <c r="N29" s="348">
        <f t="shared" si="0"/>
        <v>26819.599999999999</v>
      </c>
    </row>
    <row r="30" spans="1:14" x14ac:dyDescent="0.2">
      <c r="A30" s="349" t="s">
        <v>269</v>
      </c>
      <c r="B30" s="348"/>
      <c r="C30" s="348"/>
      <c r="D30" s="348"/>
      <c r="E30" s="348"/>
      <c r="F30" s="348">
        <v>46033</v>
      </c>
      <c r="G30" s="348"/>
      <c r="H30" s="348"/>
      <c r="I30" s="348"/>
      <c r="J30" s="348"/>
      <c r="K30" s="348"/>
      <c r="L30" s="348"/>
      <c r="M30" s="348"/>
      <c r="N30" s="348">
        <f t="shared" si="0"/>
        <v>46033</v>
      </c>
    </row>
    <row r="31" spans="1:14" x14ac:dyDescent="0.2">
      <c r="A31" s="349" t="s">
        <v>276</v>
      </c>
      <c r="B31" s="348"/>
      <c r="C31" s="348"/>
      <c r="D31" s="348"/>
      <c r="E31" s="348"/>
      <c r="F31" s="348">
        <v>1200</v>
      </c>
      <c r="G31" s="348"/>
      <c r="H31" s="348"/>
      <c r="I31" s="348"/>
      <c r="J31" s="348"/>
      <c r="K31" s="348"/>
      <c r="L31" s="348"/>
      <c r="M31" s="348"/>
      <c r="N31" s="348">
        <f t="shared" si="0"/>
        <v>1200</v>
      </c>
    </row>
    <row r="32" spans="1:14" x14ac:dyDescent="0.2">
      <c r="A32" s="349" t="s">
        <v>277</v>
      </c>
      <c r="B32" s="348"/>
      <c r="C32" s="348"/>
      <c r="D32" s="348"/>
      <c r="E32" s="348"/>
      <c r="F32" s="348">
        <v>240</v>
      </c>
      <c r="G32" s="348"/>
      <c r="H32" s="348"/>
      <c r="I32" s="348"/>
      <c r="J32" s="348"/>
      <c r="K32" s="348"/>
      <c r="L32" s="348"/>
      <c r="M32" s="348"/>
      <c r="N32" s="348">
        <f t="shared" si="0"/>
        <v>240</v>
      </c>
    </row>
    <row r="33" spans="1:14" x14ac:dyDescent="0.2">
      <c r="A33" s="349" t="s">
        <v>278</v>
      </c>
      <c r="B33" s="348"/>
      <c r="C33" s="348"/>
      <c r="D33" s="348"/>
      <c r="E33" s="348"/>
      <c r="F33" s="348">
        <v>792.57</v>
      </c>
      <c r="G33" s="348"/>
      <c r="H33" s="348"/>
      <c r="I33" s="348"/>
      <c r="J33" s="348"/>
      <c r="K33" s="348"/>
      <c r="L33" s="348"/>
      <c r="M33" s="348"/>
      <c r="N33" s="348">
        <f t="shared" si="0"/>
        <v>792.57</v>
      </c>
    </row>
    <row r="34" spans="1:14" x14ac:dyDescent="0.2">
      <c r="A34" s="349" t="s">
        <v>286</v>
      </c>
      <c r="B34" s="348"/>
      <c r="C34" s="348"/>
      <c r="D34" s="348"/>
      <c r="E34" s="348"/>
      <c r="F34" s="348">
        <v>298</v>
      </c>
      <c r="G34" s="348"/>
      <c r="H34" s="348"/>
      <c r="I34" s="348"/>
      <c r="J34" s="348"/>
      <c r="K34" s="348"/>
      <c r="L34" s="348"/>
      <c r="M34" s="348"/>
      <c r="N34" s="348">
        <f t="shared" si="0"/>
        <v>298</v>
      </c>
    </row>
    <row r="35" spans="1:14" x14ac:dyDescent="0.2">
      <c r="A35" s="349" t="s">
        <v>298</v>
      </c>
      <c r="B35" s="348"/>
      <c r="C35" s="348"/>
      <c r="D35" s="348"/>
      <c r="E35" s="348"/>
      <c r="F35" s="348"/>
      <c r="G35" s="348">
        <v>17070</v>
      </c>
      <c r="H35" s="348"/>
      <c r="I35" s="348"/>
      <c r="J35" s="348"/>
      <c r="K35" s="348"/>
      <c r="L35" s="348"/>
      <c r="M35" s="348"/>
      <c r="N35" s="348">
        <f t="shared" si="0"/>
        <v>17070</v>
      </c>
    </row>
    <row r="36" spans="1:14" x14ac:dyDescent="0.2">
      <c r="A36" s="349" t="s">
        <v>304</v>
      </c>
      <c r="B36" s="348"/>
      <c r="C36" s="348"/>
      <c r="D36" s="348"/>
      <c r="E36" s="348"/>
      <c r="F36" s="348"/>
      <c r="G36" s="348">
        <v>720</v>
      </c>
      <c r="H36" s="348"/>
      <c r="I36" s="348"/>
      <c r="J36" s="348"/>
      <c r="K36" s="348"/>
      <c r="L36" s="348"/>
      <c r="M36" s="348"/>
      <c r="N36" s="348">
        <f t="shared" si="0"/>
        <v>720</v>
      </c>
    </row>
    <row r="37" spans="1:14" x14ac:dyDescent="0.2">
      <c r="A37" s="349" t="s">
        <v>306</v>
      </c>
      <c r="B37" s="348"/>
      <c r="C37" s="348"/>
      <c r="D37" s="348"/>
      <c r="E37" s="348"/>
      <c r="F37" s="348"/>
      <c r="G37" s="348">
        <v>320</v>
      </c>
      <c r="H37" s="348"/>
      <c r="I37" s="348"/>
      <c r="J37" s="348"/>
      <c r="K37" s="348"/>
      <c r="L37" s="348"/>
      <c r="M37" s="348"/>
      <c r="N37" s="348">
        <f t="shared" si="0"/>
        <v>320</v>
      </c>
    </row>
    <row r="38" spans="1:14" x14ac:dyDescent="0.2">
      <c r="A38" s="349" t="s">
        <v>307</v>
      </c>
      <c r="B38" s="348"/>
      <c r="C38" s="348"/>
      <c r="D38" s="348"/>
      <c r="E38" s="348"/>
      <c r="F38" s="348"/>
      <c r="G38" s="348">
        <v>2950</v>
      </c>
      <c r="H38" s="348"/>
      <c r="I38" s="348"/>
      <c r="J38" s="348"/>
      <c r="K38" s="348"/>
      <c r="L38" s="348"/>
      <c r="M38" s="348"/>
      <c r="N38" s="348">
        <f t="shared" si="0"/>
        <v>2950</v>
      </c>
    </row>
    <row r="39" spans="1:14" x14ac:dyDescent="0.2">
      <c r="A39" s="349" t="s">
        <v>308</v>
      </c>
      <c r="B39" s="348"/>
      <c r="C39" s="348"/>
      <c r="D39" s="348"/>
      <c r="E39" s="348"/>
      <c r="F39" s="348"/>
      <c r="G39" s="348">
        <v>900</v>
      </c>
      <c r="H39" s="348"/>
      <c r="I39" s="348"/>
      <c r="J39" s="348"/>
      <c r="K39" s="348"/>
      <c r="L39" s="348"/>
      <c r="M39" s="348"/>
      <c r="N39" s="348">
        <f t="shared" si="0"/>
        <v>900</v>
      </c>
    </row>
    <row r="40" spans="1:14" x14ac:dyDescent="0.2">
      <c r="A40" s="349" t="s">
        <v>317</v>
      </c>
      <c r="B40" s="348"/>
      <c r="C40" s="348"/>
      <c r="D40" s="348"/>
      <c r="E40" s="348"/>
      <c r="F40" s="348"/>
      <c r="G40" s="348">
        <v>5400</v>
      </c>
      <c r="H40" s="348"/>
      <c r="I40" s="348"/>
      <c r="J40" s="348"/>
      <c r="K40" s="348"/>
      <c r="L40" s="348"/>
      <c r="M40" s="348"/>
      <c r="N40" s="348">
        <f t="shared" si="0"/>
        <v>5400</v>
      </c>
    </row>
    <row r="41" spans="1:14" x14ac:dyDescent="0.2">
      <c r="A41" s="349" t="s">
        <v>318</v>
      </c>
      <c r="B41" s="348"/>
      <c r="C41" s="348"/>
      <c r="D41" s="348"/>
      <c r="E41" s="348"/>
      <c r="F41" s="348"/>
      <c r="G41" s="348">
        <v>2470.5</v>
      </c>
      <c r="H41" s="348"/>
      <c r="I41" s="348"/>
      <c r="J41" s="348"/>
      <c r="K41" s="348"/>
      <c r="L41" s="348"/>
      <c r="M41" s="348"/>
      <c r="N41" s="348">
        <f t="shared" si="0"/>
        <v>2470.5</v>
      </c>
    </row>
    <row r="42" spans="1:14" x14ac:dyDescent="0.2">
      <c r="A42" s="349" t="s">
        <v>319</v>
      </c>
      <c r="B42" s="348"/>
      <c r="C42" s="348"/>
      <c r="D42" s="348"/>
      <c r="E42" s="348"/>
      <c r="F42" s="348"/>
      <c r="G42" s="348">
        <v>1240</v>
      </c>
      <c r="H42" s="348"/>
      <c r="I42" s="348"/>
      <c r="J42" s="348"/>
      <c r="K42" s="348"/>
      <c r="L42" s="348"/>
      <c r="M42" s="348"/>
      <c r="N42" s="348">
        <f t="shared" si="0"/>
        <v>1240</v>
      </c>
    </row>
    <row r="43" spans="1:14" x14ac:dyDescent="0.2">
      <c r="A43" s="349" t="s">
        <v>320</v>
      </c>
      <c r="B43" s="348"/>
      <c r="C43" s="348"/>
      <c r="D43" s="348"/>
      <c r="E43" s="348"/>
      <c r="F43" s="348"/>
      <c r="G43" s="348">
        <v>4440</v>
      </c>
      <c r="H43" s="348"/>
      <c r="I43" s="348"/>
      <c r="J43" s="348"/>
      <c r="K43" s="348"/>
      <c r="L43" s="348"/>
      <c r="M43" s="348"/>
      <c r="N43" s="348">
        <f t="shared" si="0"/>
        <v>4440</v>
      </c>
    </row>
    <row r="44" spans="1:14" x14ac:dyDescent="0.2">
      <c r="A44" s="349" t="s">
        <v>321</v>
      </c>
      <c r="B44" s="348"/>
      <c r="C44" s="348"/>
      <c r="D44" s="348"/>
      <c r="E44" s="348"/>
      <c r="F44" s="348"/>
      <c r="G44" s="348">
        <v>1750</v>
      </c>
      <c r="H44" s="348"/>
      <c r="I44" s="348"/>
      <c r="J44" s="348"/>
      <c r="K44" s="348"/>
      <c r="L44" s="348"/>
      <c r="M44" s="348"/>
      <c r="N44" s="348">
        <f t="shared" si="0"/>
        <v>1750</v>
      </c>
    </row>
    <row r="45" spans="1:14" x14ac:dyDescent="0.2">
      <c r="A45" s="349" t="s">
        <v>322</v>
      </c>
      <c r="B45" s="348"/>
      <c r="C45" s="348"/>
      <c r="D45" s="348"/>
      <c r="E45" s="348"/>
      <c r="F45" s="348"/>
      <c r="G45" s="348">
        <v>470</v>
      </c>
      <c r="H45" s="348"/>
      <c r="I45" s="348"/>
      <c r="J45" s="348"/>
      <c r="K45" s="348"/>
      <c r="L45" s="348"/>
      <c r="M45" s="348"/>
      <c r="N45" s="348">
        <f t="shared" si="0"/>
        <v>470</v>
      </c>
    </row>
    <row r="46" spans="1:14" x14ac:dyDescent="0.2">
      <c r="A46" s="349" t="s">
        <v>318</v>
      </c>
      <c r="B46" s="348"/>
      <c r="C46" s="348"/>
      <c r="D46" s="348"/>
      <c r="E46" s="348"/>
      <c r="F46" s="348"/>
      <c r="G46" s="348">
        <v>5250</v>
      </c>
      <c r="H46" s="348"/>
      <c r="I46" s="348"/>
      <c r="J46" s="348"/>
      <c r="K46" s="348"/>
      <c r="L46" s="348"/>
      <c r="M46" s="348"/>
      <c r="N46" s="348">
        <f t="shared" si="0"/>
        <v>5250</v>
      </c>
    </row>
    <row r="47" spans="1:14" x14ac:dyDescent="0.2">
      <c r="A47" s="349" t="s">
        <v>345</v>
      </c>
      <c r="B47" s="348"/>
      <c r="C47" s="348"/>
      <c r="D47" s="348"/>
      <c r="E47" s="348"/>
      <c r="F47" s="348"/>
      <c r="G47" s="348"/>
      <c r="H47" s="348">
        <v>1250</v>
      </c>
      <c r="I47" s="348"/>
      <c r="J47" s="348"/>
      <c r="K47" s="348"/>
      <c r="L47" s="348"/>
      <c r="M47" s="348"/>
      <c r="N47" s="348">
        <f t="shared" si="0"/>
        <v>1250</v>
      </c>
    </row>
    <row r="48" spans="1:14" x14ac:dyDescent="0.2">
      <c r="A48" s="349" t="s">
        <v>346</v>
      </c>
      <c r="B48" s="348"/>
      <c r="C48" s="348"/>
      <c r="D48" s="348"/>
      <c r="E48" s="348"/>
      <c r="F48" s="348"/>
      <c r="G48" s="348"/>
      <c r="H48" s="348">
        <v>8305</v>
      </c>
      <c r="I48" s="348"/>
      <c r="J48" s="348"/>
      <c r="K48" s="348"/>
      <c r="L48" s="348"/>
      <c r="M48" s="348"/>
      <c r="N48" s="348">
        <f t="shared" si="0"/>
        <v>8305</v>
      </c>
    </row>
    <row r="49" spans="1:14" x14ac:dyDescent="0.2">
      <c r="A49" s="349" t="s">
        <v>367</v>
      </c>
      <c r="B49" s="348"/>
      <c r="C49" s="348"/>
      <c r="D49" s="348"/>
      <c r="E49" s="348"/>
      <c r="F49" s="348"/>
      <c r="G49" s="348"/>
      <c r="H49" s="348"/>
      <c r="I49" s="348">
        <v>1890</v>
      </c>
      <c r="J49" s="348"/>
      <c r="K49" s="348"/>
      <c r="L49" s="348"/>
      <c r="M49" s="348"/>
      <c r="N49" s="348">
        <f t="shared" si="0"/>
        <v>1890</v>
      </c>
    </row>
    <row r="50" spans="1:14" x14ac:dyDescent="0.2">
      <c r="A50" s="349" t="s">
        <v>367</v>
      </c>
      <c r="B50" s="348"/>
      <c r="C50" s="348"/>
      <c r="D50" s="348"/>
      <c r="E50" s="348"/>
      <c r="F50" s="348"/>
      <c r="G50" s="348"/>
      <c r="H50" s="348"/>
      <c r="I50" s="348">
        <v>1260</v>
      </c>
      <c r="J50" s="348"/>
      <c r="K50" s="348"/>
      <c r="L50" s="348"/>
      <c r="M50" s="348"/>
      <c r="N50" s="348">
        <f t="shared" si="0"/>
        <v>1260</v>
      </c>
    </row>
    <row r="51" spans="1:14" x14ac:dyDescent="0.2">
      <c r="A51" s="349" t="s">
        <v>397</v>
      </c>
      <c r="B51" s="348"/>
      <c r="C51" s="348"/>
      <c r="D51" s="348"/>
      <c r="E51" s="348"/>
      <c r="F51" s="348"/>
      <c r="G51" s="348"/>
      <c r="H51" s="348"/>
      <c r="I51" s="348"/>
      <c r="J51" s="348">
        <v>300</v>
      </c>
      <c r="K51" s="348"/>
      <c r="L51" s="348"/>
      <c r="M51" s="348"/>
      <c r="N51" s="348">
        <f t="shared" si="0"/>
        <v>300</v>
      </c>
    </row>
    <row r="52" spans="1:14" x14ac:dyDescent="0.2">
      <c r="A52" s="349" t="s">
        <v>410</v>
      </c>
      <c r="B52" s="348"/>
      <c r="C52" s="348"/>
      <c r="D52" s="348"/>
      <c r="E52" s="348"/>
      <c r="F52" s="348"/>
      <c r="G52" s="348"/>
      <c r="H52" s="348"/>
      <c r="I52" s="348"/>
      <c r="J52" s="348"/>
      <c r="K52" s="348">
        <v>1617</v>
      </c>
      <c r="L52" s="348"/>
      <c r="M52" s="348"/>
      <c r="N52" s="348">
        <f t="shared" si="0"/>
        <v>1617</v>
      </c>
    </row>
    <row r="53" spans="1:14" x14ac:dyDescent="0.2">
      <c r="A53" s="349" t="s">
        <v>419</v>
      </c>
      <c r="B53" s="348"/>
      <c r="C53" s="348"/>
      <c r="D53" s="348"/>
      <c r="E53" s="348"/>
      <c r="F53" s="348"/>
      <c r="G53" s="348"/>
      <c r="H53" s="348"/>
      <c r="I53" s="348"/>
      <c r="J53" s="348"/>
      <c r="K53" s="348">
        <v>450</v>
      </c>
      <c r="L53" s="348"/>
      <c r="M53" s="348"/>
      <c r="N53" s="348">
        <f t="shared" si="0"/>
        <v>450</v>
      </c>
    </row>
    <row r="54" spans="1:14" x14ac:dyDescent="0.2">
      <c r="A54" s="349" t="s">
        <v>427</v>
      </c>
      <c r="B54" s="348"/>
      <c r="C54" s="348"/>
      <c r="D54" s="348"/>
      <c r="E54" s="348"/>
      <c r="F54" s="348"/>
      <c r="G54" s="348"/>
      <c r="H54" s="348"/>
      <c r="I54" s="348"/>
      <c r="J54" s="348"/>
      <c r="K54" s="348"/>
      <c r="L54" s="348">
        <f>11000</f>
        <v>11000</v>
      </c>
      <c r="M54" s="348"/>
      <c r="N54" s="348">
        <f t="shared" si="0"/>
        <v>11000</v>
      </c>
    </row>
    <row r="55" spans="1:14" x14ac:dyDescent="0.2">
      <c r="A55" s="349" t="s">
        <v>430</v>
      </c>
      <c r="B55" s="348"/>
      <c r="C55" s="348"/>
      <c r="D55" s="348"/>
      <c r="E55" s="348"/>
      <c r="F55" s="348"/>
      <c r="G55" s="348"/>
      <c r="H55" s="348"/>
      <c r="I55" s="348"/>
      <c r="J55" s="348"/>
      <c r="K55" s="348"/>
      <c r="L55" s="348">
        <f>80+1810.5</f>
        <v>1890.5</v>
      </c>
      <c r="M55" s="348"/>
      <c r="N55" s="348">
        <f t="shared" si="0"/>
        <v>1890.5</v>
      </c>
    </row>
    <row r="56" spans="1:14" x14ac:dyDescent="0.2">
      <c r="A56" s="349" t="s">
        <v>438</v>
      </c>
      <c r="B56" s="348"/>
      <c r="C56" s="348"/>
      <c r="D56" s="348"/>
      <c r="E56" s="348"/>
      <c r="F56" s="348"/>
      <c r="G56" s="348"/>
      <c r="H56" s="348"/>
      <c r="I56" s="348"/>
      <c r="J56" s="348"/>
      <c r="K56" s="348"/>
      <c r="L56" s="348">
        <v>6658</v>
      </c>
      <c r="M56" s="348"/>
      <c r="N56" s="348">
        <f t="shared" si="0"/>
        <v>6658</v>
      </c>
    </row>
    <row r="57" spans="1:14" x14ac:dyDescent="0.2">
      <c r="A57" s="349" t="s">
        <v>367</v>
      </c>
      <c r="B57" s="348"/>
      <c r="C57" s="348"/>
      <c r="D57" s="348"/>
      <c r="E57" s="348"/>
      <c r="F57" s="348"/>
      <c r="G57" s="348"/>
      <c r="H57" s="348"/>
      <c r="I57" s="348"/>
      <c r="J57" s="348"/>
      <c r="K57" s="348"/>
      <c r="L57" s="348">
        <v>2600</v>
      </c>
      <c r="M57" s="348"/>
      <c r="N57" s="348">
        <f t="shared" si="0"/>
        <v>2600</v>
      </c>
    </row>
    <row r="58" spans="1:14" x14ac:dyDescent="0.2">
      <c r="A58" s="349" t="s">
        <v>439</v>
      </c>
      <c r="B58" s="348"/>
      <c r="C58" s="348"/>
      <c r="D58" s="348"/>
      <c r="E58" s="348"/>
      <c r="F58" s="348"/>
      <c r="G58" s="348"/>
      <c r="H58" s="348"/>
      <c r="I58" s="348"/>
      <c r="J58" s="348"/>
      <c r="K58" s="348"/>
      <c r="L58" s="348">
        <v>35484</v>
      </c>
      <c r="M58" s="348"/>
      <c r="N58" s="348">
        <f t="shared" si="0"/>
        <v>35484</v>
      </c>
    </row>
    <row r="59" spans="1:14" x14ac:dyDescent="0.2">
      <c r="A59" s="349" t="s">
        <v>455</v>
      </c>
      <c r="B59" s="348"/>
      <c r="C59" s="348"/>
      <c r="D59" s="348"/>
      <c r="E59" s="348"/>
      <c r="F59" s="348"/>
      <c r="G59" s="348"/>
      <c r="H59" s="348"/>
      <c r="I59" s="348"/>
      <c r="J59" s="348"/>
      <c r="K59" s="348"/>
      <c r="L59" s="348"/>
      <c r="M59" s="348">
        <v>11000</v>
      </c>
      <c r="N59" s="348">
        <f t="shared" si="0"/>
        <v>11000</v>
      </c>
    </row>
    <row r="60" spans="1:14" x14ac:dyDescent="0.2">
      <c r="A60" s="349" t="s">
        <v>456</v>
      </c>
      <c r="B60" s="348"/>
      <c r="C60" s="348"/>
      <c r="D60" s="348"/>
      <c r="E60" s="348"/>
      <c r="F60" s="348"/>
      <c r="G60" s="348"/>
      <c r="H60" s="348"/>
      <c r="I60" s="348"/>
      <c r="J60" s="348"/>
      <c r="K60" s="348"/>
      <c r="L60" s="348"/>
      <c r="M60" s="348">
        <v>5000</v>
      </c>
      <c r="N60" s="348">
        <f t="shared" si="0"/>
        <v>5000</v>
      </c>
    </row>
    <row r="61" spans="1:14" x14ac:dyDescent="0.2">
      <c r="A61" s="349" t="s">
        <v>457</v>
      </c>
      <c r="B61" s="348"/>
      <c r="C61" s="348"/>
      <c r="D61" s="348"/>
      <c r="E61" s="348"/>
      <c r="F61" s="348"/>
      <c r="G61" s="348"/>
      <c r="H61" s="348"/>
      <c r="I61" s="348"/>
      <c r="J61" s="348"/>
      <c r="K61" s="348"/>
      <c r="L61" s="348"/>
      <c r="M61" s="348">
        <f>14500+4000+14500</f>
        <v>33000</v>
      </c>
      <c r="N61" s="348">
        <f t="shared" si="0"/>
        <v>33000</v>
      </c>
    </row>
    <row r="62" spans="1:14" x14ac:dyDescent="0.2">
      <c r="A62" s="349" t="s">
        <v>459</v>
      </c>
      <c r="B62" s="348"/>
      <c r="C62" s="348"/>
      <c r="D62" s="348"/>
      <c r="E62" s="348"/>
      <c r="F62" s="348"/>
      <c r="G62" s="348"/>
      <c r="H62" s="348"/>
      <c r="I62" s="348"/>
      <c r="J62" s="348"/>
      <c r="K62" s="348"/>
      <c r="L62" s="348"/>
      <c r="M62" s="348">
        <v>10279.200000000001</v>
      </c>
      <c r="N62" s="348">
        <f t="shared" si="0"/>
        <v>10279.200000000001</v>
      </c>
    </row>
    <row r="63" spans="1:14" x14ac:dyDescent="0.2">
      <c r="A63" s="349"/>
      <c r="B63" s="348"/>
      <c r="C63" s="348"/>
      <c r="D63" s="348"/>
      <c r="E63" s="348"/>
      <c r="F63" s="348"/>
      <c r="G63" s="348"/>
      <c r="H63" s="348"/>
      <c r="I63" s="348"/>
      <c r="J63" s="348"/>
      <c r="K63" s="348"/>
      <c r="L63" s="348"/>
      <c r="M63" s="348"/>
      <c r="N63" s="348">
        <f t="shared" si="0"/>
        <v>0</v>
      </c>
    </row>
    <row r="64" spans="1:14" x14ac:dyDescent="0.2">
      <c r="A64" s="349"/>
      <c r="B64" s="348"/>
      <c r="C64" s="348"/>
      <c r="D64" s="348"/>
      <c r="E64" s="348"/>
      <c r="F64" s="348"/>
      <c r="G64" s="348"/>
      <c r="H64" s="348"/>
      <c r="I64" s="348"/>
      <c r="J64" s="348"/>
      <c r="K64" s="348"/>
      <c r="L64" s="348"/>
      <c r="M64" s="348"/>
      <c r="N64" s="348">
        <f t="shared" si="0"/>
        <v>0</v>
      </c>
    </row>
    <row r="65" spans="1:14" x14ac:dyDescent="0.2">
      <c r="A65" s="339" t="s">
        <v>91</v>
      </c>
      <c r="B65" s="350">
        <f t="shared" ref="B65:N65" si="1">SUM(B3:B64)</f>
        <v>35385</v>
      </c>
      <c r="C65" s="350">
        <f t="shared" si="1"/>
        <v>177740.88</v>
      </c>
      <c r="D65" s="350">
        <f t="shared" si="1"/>
        <v>2464</v>
      </c>
      <c r="E65" s="350">
        <f t="shared" si="1"/>
        <v>59172</v>
      </c>
      <c r="F65" s="350">
        <f t="shared" si="1"/>
        <v>-139824.82999999999</v>
      </c>
      <c r="G65" s="350">
        <f t="shared" si="1"/>
        <v>48980.5</v>
      </c>
      <c r="H65" s="350">
        <f t="shared" si="1"/>
        <v>25855</v>
      </c>
      <c r="I65" s="350">
        <f t="shared" si="1"/>
        <v>132470</v>
      </c>
      <c r="J65" s="350">
        <f t="shared" si="1"/>
        <v>22600</v>
      </c>
      <c r="K65" s="350">
        <f t="shared" si="1"/>
        <v>24367</v>
      </c>
      <c r="L65" s="350">
        <f t="shared" si="1"/>
        <v>57632.5</v>
      </c>
      <c r="M65" s="350">
        <f t="shared" si="1"/>
        <v>110897.7</v>
      </c>
      <c r="N65" s="350">
        <f t="shared" si="1"/>
        <v>557739.75</v>
      </c>
    </row>
    <row r="67" spans="1:14" x14ac:dyDescent="0.2">
      <c r="N67" s="352">
        <f>SUM(B65:M65)-N65</f>
        <v>0</v>
      </c>
    </row>
  </sheetData>
  <phoneticPr fontId="22" type="noConversion"/>
  <pageMargins left="0.25" right="0.25" top="0.75" bottom="0.75" header="0.3" footer="0.3"/>
  <pageSetup paperSize="9" scale="87" firstPageNumber="42949672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N79"/>
  <sheetViews>
    <sheetView topLeftCell="A53" workbookViewId="0">
      <selection activeCell="A73" sqref="A73"/>
    </sheetView>
  </sheetViews>
  <sheetFormatPr defaultRowHeight="15" x14ac:dyDescent="0.25"/>
  <cols>
    <col min="1" max="1" width="33.140625" bestFit="1" customWidth="1"/>
    <col min="2" max="9" width="12.85546875" bestFit="1" customWidth="1"/>
    <col min="10" max="10" width="11.85546875" bestFit="1" customWidth="1"/>
    <col min="11" max="13" width="12.85546875" bestFit="1" customWidth="1"/>
    <col min="14" max="14" width="14.5703125" style="96" bestFit="1" customWidth="1"/>
  </cols>
  <sheetData>
    <row r="1" spans="1:14" x14ac:dyDescent="0.25">
      <c r="A1" s="155" t="s">
        <v>114</v>
      </c>
      <c r="B1" s="135" t="str">
        <f>'ВСЕ затраты'!B1</f>
        <v>2023-2024гг.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84"/>
    </row>
    <row r="2" spans="1:14" x14ac:dyDescent="0.25">
      <c r="A2" s="156"/>
      <c r="B2" s="173" t="s">
        <v>9</v>
      </c>
      <c r="C2" s="172" t="s">
        <v>14</v>
      </c>
      <c r="D2" s="173" t="s">
        <v>15</v>
      </c>
      <c r="E2" s="172" t="s">
        <v>16</v>
      </c>
      <c r="F2" s="173" t="s">
        <v>17</v>
      </c>
      <c r="G2" s="172" t="s">
        <v>18</v>
      </c>
      <c r="H2" s="173" t="s">
        <v>19</v>
      </c>
      <c r="I2" s="172" t="s">
        <v>4</v>
      </c>
      <c r="J2" s="173" t="s">
        <v>5</v>
      </c>
      <c r="K2" s="172" t="s">
        <v>6</v>
      </c>
      <c r="L2" s="173" t="s">
        <v>7</v>
      </c>
      <c r="M2" s="172" t="s">
        <v>8</v>
      </c>
      <c r="N2" s="185"/>
    </row>
    <row r="3" spans="1:14" x14ac:dyDescent="0.25">
      <c r="A3" s="357" t="s">
        <v>114</v>
      </c>
      <c r="B3" s="356">
        <v>135949.22</v>
      </c>
      <c r="C3" s="356">
        <v>205269.35</v>
      </c>
      <c r="D3" s="356">
        <v>210078.77</v>
      </c>
      <c r="E3" s="356">
        <v>230785.83</v>
      </c>
      <c r="F3" s="356">
        <v>231228.03</v>
      </c>
      <c r="G3" s="356">
        <v>202722.3</v>
      </c>
      <c r="H3" s="356">
        <v>167233.44</v>
      </c>
      <c r="I3" s="356">
        <v>114852.98</v>
      </c>
      <c r="J3" s="356">
        <v>98944.89</v>
      </c>
      <c r="K3" s="356">
        <v>138696.54</v>
      </c>
      <c r="L3" s="356">
        <v>153941.01999999999</v>
      </c>
      <c r="M3" s="356">
        <v>158046.54</v>
      </c>
      <c r="N3" s="193">
        <f t="shared" ref="N3:N76" si="0">SUM(B3:M3)</f>
        <v>2047748.91</v>
      </c>
    </row>
    <row r="4" spans="1:14" x14ac:dyDescent="0.25">
      <c r="A4" s="161" t="s">
        <v>161</v>
      </c>
      <c r="B4" s="187">
        <v>700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93">
        <f t="shared" si="0"/>
        <v>700</v>
      </c>
    </row>
    <row r="5" spans="1:14" x14ac:dyDescent="0.25">
      <c r="A5" s="161" t="s">
        <v>177</v>
      </c>
      <c r="B5" s="187">
        <v>77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93">
        <f t="shared" si="0"/>
        <v>77</v>
      </c>
    </row>
    <row r="6" spans="1:14" x14ac:dyDescent="0.25">
      <c r="A6" s="165" t="s">
        <v>205</v>
      </c>
      <c r="B6" s="187"/>
      <c r="C6" s="187">
        <v>360</v>
      </c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93">
        <f t="shared" si="0"/>
        <v>360</v>
      </c>
    </row>
    <row r="7" spans="1:14" x14ac:dyDescent="0.25">
      <c r="A7" s="161" t="s">
        <v>206</v>
      </c>
      <c r="B7" s="187"/>
      <c r="C7" s="187">
        <v>1200</v>
      </c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93">
        <f t="shared" si="0"/>
        <v>1200</v>
      </c>
    </row>
    <row r="8" spans="1:14" x14ac:dyDescent="0.25">
      <c r="A8" s="161" t="s">
        <v>218</v>
      </c>
      <c r="B8" s="187"/>
      <c r="C8" s="187"/>
      <c r="D8" s="187">
        <v>9404</v>
      </c>
      <c r="E8" s="187"/>
      <c r="F8" s="187"/>
      <c r="G8" s="187"/>
      <c r="H8" s="187"/>
      <c r="I8" s="187"/>
      <c r="J8" s="187"/>
      <c r="K8" s="187"/>
      <c r="L8" s="187"/>
      <c r="M8" s="187"/>
      <c r="N8" s="193">
        <f t="shared" si="0"/>
        <v>9404</v>
      </c>
    </row>
    <row r="9" spans="1:14" x14ac:dyDescent="0.25">
      <c r="A9" s="161" t="s">
        <v>219</v>
      </c>
      <c r="B9" s="187"/>
      <c r="C9" s="187"/>
      <c r="D9" s="187">
        <v>74</v>
      </c>
      <c r="E9" s="187"/>
      <c r="F9" s="187"/>
      <c r="G9" s="187"/>
      <c r="H9" s="187"/>
      <c r="I9" s="187"/>
      <c r="J9" s="187"/>
      <c r="K9" s="187"/>
      <c r="L9" s="187"/>
      <c r="M9" s="187"/>
      <c r="N9" s="193">
        <f t="shared" si="0"/>
        <v>74</v>
      </c>
    </row>
    <row r="10" spans="1:14" x14ac:dyDescent="0.25">
      <c r="A10" s="161" t="s">
        <v>220</v>
      </c>
      <c r="B10" s="187"/>
      <c r="C10" s="187"/>
      <c r="D10" s="187">
        <v>3298</v>
      </c>
      <c r="E10" s="187"/>
      <c r="F10" s="187"/>
      <c r="G10" s="187"/>
      <c r="H10" s="187"/>
      <c r="I10" s="187"/>
      <c r="J10" s="187"/>
      <c r="K10" s="187"/>
      <c r="L10" s="187"/>
      <c r="M10" s="187"/>
      <c r="N10" s="193">
        <f t="shared" si="0"/>
        <v>3298</v>
      </c>
    </row>
    <row r="11" spans="1:14" x14ac:dyDescent="0.25">
      <c r="A11" s="161" t="s">
        <v>221</v>
      </c>
      <c r="B11" s="187"/>
      <c r="C11" s="187"/>
      <c r="D11" s="187">
        <v>520</v>
      </c>
      <c r="E11" s="187"/>
      <c r="F11" s="187"/>
      <c r="G11" s="187"/>
      <c r="H11" s="187"/>
      <c r="I11" s="187"/>
      <c r="J11" s="187"/>
      <c r="K11" s="187"/>
      <c r="L11" s="187"/>
      <c r="M11" s="187"/>
      <c r="N11" s="193">
        <f t="shared" si="0"/>
        <v>520</v>
      </c>
    </row>
    <row r="12" spans="1:14" x14ac:dyDescent="0.25">
      <c r="A12" s="161" t="s">
        <v>222</v>
      </c>
      <c r="B12" s="187"/>
      <c r="C12" s="187"/>
      <c r="D12" s="187">
        <v>3100</v>
      </c>
      <c r="E12" s="187"/>
      <c r="F12" s="187"/>
      <c r="G12" s="187"/>
      <c r="H12" s="187"/>
      <c r="I12" s="187"/>
      <c r="J12" s="187"/>
      <c r="K12" s="187"/>
      <c r="L12" s="187"/>
      <c r="M12" s="187"/>
      <c r="N12" s="193">
        <f t="shared" si="0"/>
        <v>3100</v>
      </c>
    </row>
    <row r="13" spans="1:14" x14ac:dyDescent="0.25">
      <c r="A13" s="161" t="s">
        <v>223</v>
      </c>
      <c r="B13" s="187"/>
      <c r="C13" s="187"/>
      <c r="D13" s="187">
        <v>1932</v>
      </c>
      <c r="E13" s="187"/>
      <c r="F13" s="187"/>
      <c r="G13" s="187"/>
      <c r="H13" s="187"/>
      <c r="I13" s="187"/>
      <c r="J13" s="187"/>
      <c r="K13" s="187"/>
      <c r="L13" s="187"/>
      <c r="M13" s="187"/>
      <c r="N13" s="193">
        <f t="shared" si="0"/>
        <v>1932</v>
      </c>
    </row>
    <row r="14" spans="1:14" x14ac:dyDescent="0.25">
      <c r="A14" s="161" t="s">
        <v>224</v>
      </c>
      <c r="B14" s="152"/>
      <c r="C14" s="152"/>
      <c r="D14" s="187">
        <v>2820</v>
      </c>
      <c r="E14" s="152"/>
      <c r="F14" s="152"/>
      <c r="G14" s="152"/>
      <c r="H14" s="152"/>
      <c r="I14" s="152"/>
      <c r="J14" s="152"/>
      <c r="K14" s="152"/>
      <c r="L14" s="152"/>
      <c r="M14" s="152"/>
      <c r="N14" s="181">
        <f t="shared" si="0"/>
        <v>2820</v>
      </c>
    </row>
    <row r="15" spans="1:14" x14ac:dyDescent="0.25">
      <c r="A15" s="161" t="s">
        <v>230</v>
      </c>
      <c r="B15" s="152"/>
      <c r="C15" s="152"/>
      <c r="D15" s="187">
        <v>855</v>
      </c>
      <c r="E15" s="152"/>
      <c r="F15" s="152"/>
      <c r="G15" s="152"/>
      <c r="H15" s="152"/>
      <c r="I15" s="152"/>
      <c r="J15" s="152"/>
      <c r="K15" s="152"/>
      <c r="L15" s="152"/>
      <c r="M15" s="152"/>
      <c r="N15" s="181">
        <f t="shared" si="0"/>
        <v>855</v>
      </c>
    </row>
    <row r="16" spans="1:14" x14ac:dyDescent="0.25">
      <c r="A16" s="161" t="s">
        <v>229</v>
      </c>
      <c r="B16" s="152"/>
      <c r="C16" s="152"/>
      <c r="D16" s="187">
        <v>1000</v>
      </c>
      <c r="E16" s="152"/>
      <c r="F16" s="152"/>
      <c r="G16" s="152"/>
      <c r="H16" s="152"/>
      <c r="I16" s="152"/>
      <c r="J16" s="152"/>
      <c r="K16" s="152"/>
      <c r="L16" s="152"/>
      <c r="M16" s="152"/>
      <c r="N16" s="181">
        <f t="shared" si="0"/>
        <v>1000</v>
      </c>
    </row>
    <row r="17" spans="1:14" x14ac:dyDescent="0.25">
      <c r="A17" s="378" t="s">
        <v>235</v>
      </c>
      <c r="B17" s="152"/>
      <c r="C17" s="152"/>
      <c r="D17" s="187">
        <v>66490</v>
      </c>
      <c r="E17" s="152"/>
      <c r="F17" s="152"/>
      <c r="G17" s="152"/>
      <c r="H17" s="152"/>
      <c r="I17" s="152"/>
      <c r="J17" s="152"/>
      <c r="K17" s="152"/>
      <c r="L17" s="152"/>
      <c r="M17" s="152"/>
      <c r="N17" s="181">
        <f t="shared" si="0"/>
        <v>66490</v>
      </c>
    </row>
    <row r="18" spans="1:14" x14ac:dyDescent="0.25">
      <c r="A18" s="161" t="s">
        <v>205</v>
      </c>
      <c r="B18" s="152"/>
      <c r="C18" s="152"/>
      <c r="D18" s="187"/>
      <c r="E18" s="152">
        <v>383</v>
      </c>
      <c r="F18" s="152"/>
      <c r="G18" s="152"/>
      <c r="H18" s="152"/>
      <c r="I18" s="152"/>
      <c r="J18" s="152"/>
      <c r="K18" s="152"/>
      <c r="L18" s="152"/>
      <c r="M18" s="152"/>
      <c r="N18" s="181">
        <f t="shared" si="0"/>
        <v>383</v>
      </c>
    </row>
    <row r="19" spans="1:14" x14ac:dyDescent="0.25">
      <c r="A19" s="161" t="s">
        <v>251</v>
      </c>
      <c r="B19" s="152"/>
      <c r="C19" s="152"/>
      <c r="D19" s="187"/>
      <c r="E19" s="152">
        <v>530</v>
      </c>
      <c r="F19" s="152"/>
      <c r="G19" s="152"/>
      <c r="H19" s="152"/>
      <c r="I19" s="152"/>
      <c r="J19" s="152"/>
      <c r="K19" s="152"/>
      <c r="L19" s="152"/>
      <c r="M19" s="152"/>
      <c r="N19" s="181">
        <f t="shared" si="0"/>
        <v>530</v>
      </c>
    </row>
    <row r="20" spans="1:14" x14ac:dyDescent="0.25">
      <c r="A20" s="161" t="s">
        <v>205</v>
      </c>
      <c r="B20" s="152"/>
      <c r="C20" s="152"/>
      <c r="D20" s="152"/>
      <c r="E20" s="152">
        <v>216.44</v>
      </c>
      <c r="F20" s="152"/>
      <c r="G20" s="152"/>
      <c r="H20" s="152"/>
      <c r="I20" s="152"/>
      <c r="J20" s="152"/>
      <c r="K20" s="152"/>
      <c r="L20" s="152"/>
      <c r="M20" s="152"/>
      <c r="N20" s="181">
        <f t="shared" si="0"/>
        <v>216.44</v>
      </c>
    </row>
    <row r="21" spans="1:14" x14ac:dyDescent="0.25">
      <c r="A21" s="161" t="s">
        <v>253</v>
      </c>
      <c r="B21" s="152"/>
      <c r="C21" s="152"/>
      <c r="D21" s="152"/>
      <c r="E21" s="152">
        <v>4440</v>
      </c>
      <c r="F21" s="152"/>
      <c r="G21" s="152"/>
      <c r="H21" s="152"/>
      <c r="I21" s="152"/>
      <c r="J21" s="152"/>
      <c r="K21" s="152"/>
      <c r="L21" s="152"/>
      <c r="M21" s="152"/>
      <c r="N21" s="181">
        <f t="shared" si="0"/>
        <v>4440</v>
      </c>
    </row>
    <row r="22" spans="1:14" x14ac:dyDescent="0.25">
      <c r="A22" s="161" t="s">
        <v>254</v>
      </c>
      <c r="B22" s="152"/>
      <c r="C22" s="152"/>
      <c r="D22" s="152"/>
      <c r="E22" s="152">
        <v>7372</v>
      </c>
      <c r="F22" s="152"/>
      <c r="G22" s="152"/>
      <c r="H22" s="152"/>
      <c r="I22" s="152"/>
      <c r="J22" s="152"/>
      <c r="K22" s="152"/>
      <c r="L22" s="152"/>
      <c r="M22" s="152"/>
      <c r="N22" s="181">
        <f t="shared" si="0"/>
        <v>7372</v>
      </c>
    </row>
    <row r="23" spans="1:14" x14ac:dyDescent="0.25">
      <c r="A23" s="161" t="s">
        <v>274</v>
      </c>
      <c r="B23" s="152"/>
      <c r="C23" s="152"/>
      <c r="D23" s="152"/>
      <c r="E23" s="152"/>
      <c r="F23" s="152">
        <v>780</v>
      </c>
      <c r="G23" s="152"/>
      <c r="H23" s="152"/>
      <c r="I23" s="152"/>
      <c r="J23" s="152"/>
      <c r="K23" s="152"/>
      <c r="L23" s="152"/>
      <c r="M23" s="152"/>
      <c r="N23" s="181">
        <f t="shared" si="0"/>
        <v>780</v>
      </c>
    </row>
    <row r="24" spans="1:14" x14ac:dyDescent="0.25">
      <c r="A24" s="161" t="s">
        <v>280</v>
      </c>
      <c r="B24" s="152"/>
      <c r="C24" s="152"/>
      <c r="D24" s="152"/>
      <c r="E24" s="152"/>
      <c r="F24" s="152">
        <v>5003</v>
      </c>
      <c r="G24" s="152"/>
      <c r="H24" s="152"/>
      <c r="I24" s="152"/>
      <c r="J24" s="152"/>
      <c r="K24" s="152"/>
      <c r="L24" s="152"/>
      <c r="M24" s="152"/>
      <c r="N24" s="181">
        <f t="shared" si="0"/>
        <v>5003</v>
      </c>
    </row>
    <row r="25" spans="1:14" x14ac:dyDescent="0.25">
      <c r="A25" s="161" t="s">
        <v>281</v>
      </c>
      <c r="B25" s="152"/>
      <c r="C25" s="152"/>
      <c r="D25" s="152"/>
      <c r="E25" s="152"/>
      <c r="F25" s="152">
        <v>7750</v>
      </c>
      <c r="G25" s="152"/>
      <c r="H25" s="152"/>
      <c r="I25" s="152"/>
      <c r="J25" s="152"/>
      <c r="K25" s="152"/>
      <c r="L25" s="152"/>
      <c r="M25" s="152"/>
      <c r="N25" s="181">
        <f t="shared" si="0"/>
        <v>7750</v>
      </c>
    </row>
    <row r="26" spans="1:14" x14ac:dyDescent="0.25">
      <c r="A26" s="161" t="s">
        <v>282</v>
      </c>
      <c r="B26" s="152"/>
      <c r="C26" s="152"/>
      <c r="D26" s="152"/>
      <c r="E26" s="152"/>
      <c r="F26" s="152">
        <v>1747</v>
      </c>
      <c r="G26" s="152"/>
      <c r="H26" s="152"/>
      <c r="I26" s="152"/>
      <c r="J26" s="152"/>
      <c r="K26" s="152"/>
      <c r="L26" s="152"/>
      <c r="M26" s="152"/>
      <c r="N26" s="181">
        <f t="shared" si="0"/>
        <v>1747</v>
      </c>
    </row>
    <row r="27" spans="1:14" x14ac:dyDescent="0.25">
      <c r="A27" s="161" t="s">
        <v>283</v>
      </c>
      <c r="B27" s="152"/>
      <c r="C27" s="152"/>
      <c r="D27" s="152"/>
      <c r="E27" s="152"/>
      <c r="F27" s="152">
        <v>10016</v>
      </c>
      <c r="G27" s="152"/>
      <c r="H27" s="152"/>
      <c r="I27" s="152"/>
      <c r="J27" s="152"/>
      <c r="K27" s="152"/>
      <c r="L27" s="152"/>
      <c r="M27" s="152"/>
      <c r="N27" s="181">
        <f t="shared" si="0"/>
        <v>10016</v>
      </c>
    </row>
    <row r="28" spans="1:14" x14ac:dyDescent="0.25">
      <c r="A28" s="161" t="s">
        <v>287</v>
      </c>
      <c r="B28" s="152"/>
      <c r="C28" s="152"/>
      <c r="D28" s="152"/>
      <c r="E28" s="152"/>
      <c r="F28" s="152">
        <v>650</v>
      </c>
      <c r="G28" s="152"/>
      <c r="H28" s="152"/>
      <c r="I28" s="152"/>
      <c r="J28" s="152"/>
      <c r="K28" s="152"/>
      <c r="L28" s="152"/>
      <c r="M28" s="152"/>
      <c r="N28" s="181">
        <f t="shared" si="0"/>
        <v>650</v>
      </c>
    </row>
    <row r="29" spans="1:14" x14ac:dyDescent="0.25">
      <c r="A29" s="161" t="s">
        <v>291</v>
      </c>
      <c r="B29" s="152"/>
      <c r="C29" s="152"/>
      <c r="D29" s="152"/>
      <c r="E29" s="152"/>
      <c r="F29" s="152"/>
      <c r="G29" s="152">
        <v>3000</v>
      </c>
      <c r="H29" s="152"/>
      <c r="I29" s="152"/>
      <c r="J29" s="152"/>
      <c r="K29" s="152"/>
      <c r="L29" s="152"/>
      <c r="M29" s="152"/>
      <c r="N29" s="181">
        <f t="shared" si="0"/>
        <v>3000</v>
      </c>
    </row>
    <row r="30" spans="1:14" x14ac:dyDescent="0.25">
      <c r="A30" s="366" t="s">
        <v>301</v>
      </c>
      <c r="B30" s="152"/>
      <c r="C30" s="152"/>
      <c r="D30" s="152"/>
      <c r="E30" s="152"/>
      <c r="F30" s="152"/>
      <c r="G30" s="152">
        <v>77688</v>
      </c>
      <c r="H30" s="152"/>
      <c r="I30" s="152"/>
      <c r="J30" s="152"/>
      <c r="K30" s="152"/>
      <c r="L30" s="152"/>
      <c r="M30" s="152"/>
      <c r="N30" s="181">
        <f t="shared" si="0"/>
        <v>77688</v>
      </c>
    </row>
    <row r="31" spans="1:14" x14ac:dyDescent="0.25">
      <c r="A31" s="366" t="s">
        <v>302</v>
      </c>
      <c r="B31" s="152"/>
      <c r="C31" s="152"/>
      <c r="D31" s="152"/>
      <c r="E31" s="152"/>
      <c r="F31" s="152"/>
      <c r="G31" s="152">
        <v>27900</v>
      </c>
      <c r="H31" s="152"/>
      <c r="I31" s="152"/>
      <c r="J31" s="152"/>
      <c r="K31" s="152"/>
      <c r="L31" s="152"/>
      <c r="M31" s="152"/>
      <c r="N31" s="181">
        <f t="shared" si="0"/>
        <v>27900</v>
      </c>
    </row>
    <row r="32" spans="1:14" x14ac:dyDescent="0.25">
      <c r="A32" s="366" t="s">
        <v>303</v>
      </c>
      <c r="B32" s="152"/>
      <c r="C32" s="152"/>
      <c r="D32" s="152"/>
      <c r="E32" s="152"/>
      <c r="F32" s="152"/>
      <c r="G32" s="152">
        <v>42000</v>
      </c>
      <c r="H32" s="152"/>
      <c r="I32" s="152"/>
      <c r="J32" s="152"/>
      <c r="K32" s="152"/>
      <c r="L32" s="152"/>
      <c r="M32" s="152"/>
      <c r="N32" s="181">
        <f t="shared" si="0"/>
        <v>42000</v>
      </c>
    </row>
    <row r="33" spans="1:14" x14ac:dyDescent="0.25">
      <c r="A33" s="369" t="s">
        <v>309</v>
      </c>
      <c r="B33" s="152"/>
      <c r="C33" s="152"/>
      <c r="D33" s="152"/>
      <c r="E33" s="152"/>
      <c r="F33" s="152"/>
      <c r="G33" s="152">
        <v>900</v>
      </c>
      <c r="H33" s="152"/>
      <c r="I33" s="152"/>
      <c r="J33" s="152"/>
      <c r="K33" s="152"/>
      <c r="L33" s="152"/>
      <c r="M33" s="152"/>
      <c r="N33" s="181">
        <f t="shared" si="0"/>
        <v>900</v>
      </c>
    </row>
    <row r="34" spans="1:14" x14ac:dyDescent="0.25">
      <c r="A34" s="369" t="s">
        <v>310</v>
      </c>
      <c r="B34" s="152"/>
      <c r="C34" s="152"/>
      <c r="D34" s="152"/>
      <c r="E34" s="152"/>
      <c r="F34" s="152"/>
      <c r="G34" s="152">
        <v>200</v>
      </c>
      <c r="H34" s="152"/>
      <c r="I34" s="152"/>
      <c r="J34" s="152"/>
      <c r="K34" s="152"/>
      <c r="L34" s="152"/>
      <c r="M34" s="152"/>
      <c r="N34" s="181">
        <f t="shared" si="0"/>
        <v>200</v>
      </c>
    </row>
    <row r="35" spans="1:14" x14ac:dyDescent="0.25">
      <c r="A35" s="369" t="s">
        <v>311</v>
      </c>
      <c r="B35" s="152"/>
      <c r="C35" s="152"/>
      <c r="D35" s="152"/>
      <c r="E35" s="152"/>
      <c r="F35" s="152"/>
      <c r="G35" s="152">
        <v>146</v>
      </c>
      <c r="H35" s="152"/>
      <c r="I35" s="152"/>
      <c r="J35" s="152"/>
      <c r="K35" s="152"/>
      <c r="L35" s="152"/>
      <c r="M35" s="152"/>
      <c r="N35" s="181">
        <f t="shared" si="0"/>
        <v>146</v>
      </c>
    </row>
    <row r="36" spans="1:14" x14ac:dyDescent="0.25">
      <c r="A36" s="369" t="s">
        <v>326</v>
      </c>
      <c r="B36" s="152"/>
      <c r="C36" s="152"/>
      <c r="D36" s="152"/>
      <c r="E36" s="152"/>
      <c r="F36" s="152"/>
      <c r="G36" s="152">
        <v>6249</v>
      </c>
      <c r="H36" s="152"/>
      <c r="I36" s="152"/>
      <c r="J36" s="152"/>
      <c r="K36" s="152"/>
      <c r="L36" s="152"/>
      <c r="M36" s="152"/>
      <c r="N36" s="181">
        <f t="shared" si="0"/>
        <v>6249</v>
      </c>
    </row>
    <row r="37" spans="1:14" x14ac:dyDescent="0.25">
      <c r="A37" s="369" t="s">
        <v>327</v>
      </c>
      <c r="B37" s="152"/>
      <c r="C37" s="152"/>
      <c r="D37" s="152"/>
      <c r="E37" s="152"/>
      <c r="F37" s="152"/>
      <c r="G37" s="152">
        <v>730</v>
      </c>
      <c r="H37" s="152"/>
      <c r="I37" s="152"/>
      <c r="J37" s="152"/>
      <c r="K37" s="152"/>
      <c r="L37" s="152"/>
      <c r="M37" s="152"/>
      <c r="N37" s="181">
        <f t="shared" si="0"/>
        <v>730</v>
      </c>
    </row>
    <row r="38" spans="1:14" x14ac:dyDescent="0.25">
      <c r="A38" s="369" t="s">
        <v>311</v>
      </c>
      <c r="B38" s="152"/>
      <c r="C38" s="152"/>
      <c r="D38" s="152"/>
      <c r="E38" s="152"/>
      <c r="F38" s="152"/>
      <c r="G38" s="152">
        <v>163</v>
      </c>
      <c r="H38" s="152"/>
      <c r="I38" s="152"/>
      <c r="J38" s="152"/>
      <c r="K38" s="152"/>
      <c r="L38" s="152"/>
      <c r="M38" s="152"/>
      <c r="N38" s="181">
        <f t="shared" si="0"/>
        <v>163</v>
      </c>
    </row>
    <row r="39" spans="1:14" x14ac:dyDescent="0.25">
      <c r="A39" s="369" t="s">
        <v>328</v>
      </c>
      <c r="B39" s="152"/>
      <c r="C39" s="152"/>
      <c r="D39" s="152"/>
      <c r="E39" s="152"/>
      <c r="F39" s="152"/>
      <c r="G39" s="152">
        <v>1124</v>
      </c>
      <c r="H39" s="152"/>
      <c r="I39" s="152"/>
      <c r="J39" s="152"/>
      <c r="K39" s="152"/>
      <c r="L39" s="152"/>
      <c r="M39" s="152"/>
      <c r="N39" s="181">
        <f t="shared" si="0"/>
        <v>1124</v>
      </c>
    </row>
    <row r="40" spans="1:14" x14ac:dyDescent="0.25">
      <c r="A40" s="369" t="s">
        <v>329</v>
      </c>
      <c r="B40" s="152"/>
      <c r="C40" s="152"/>
      <c r="D40" s="152"/>
      <c r="E40" s="152"/>
      <c r="F40" s="152"/>
      <c r="G40" s="152">
        <v>3570</v>
      </c>
      <c r="H40" s="152"/>
      <c r="I40" s="152"/>
      <c r="J40" s="152"/>
      <c r="K40" s="152"/>
      <c r="L40" s="152"/>
      <c r="M40" s="152"/>
      <c r="N40" s="181">
        <f t="shared" si="0"/>
        <v>3570</v>
      </c>
    </row>
    <row r="41" spans="1:14" x14ac:dyDescent="0.25">
      <c r="A41" s="369" t="s">
        <v>322</v>
      </c>
      <c r="B41" s="152"/>
      <c r="C41" s="152"/>
      <c r="D41" s="152"/>
      <c r="E41" s="152"/>
      <c r="F41" s="152"/>
      <c r="G41" s="152">
        <v>140</v>
      </c>
      <c r="H41" s="152"/>
      <c r="I41" s="152"/>
      <c r="J41" s="152"/>
      <c r="K41" s="152"/>
      <c r="L41" s="152"/>
      <c r="M41" s="152"/>
      <c r="N41" s="181">
        <f t="shared" si="0"/>
        <v>140</v>
      </c>
    </row>
    <row r="42" spans="1:14" x14ac:dyDescent="0.25">
      <c r="A42" s="369" t="s">
        <v>330</v>
      </c>
      <c r="B42" s="152"/>
      <c r="C42" s="152"/>
      <c r="D42" s="152"/>
      <c r="E42" s="152"/>
      <c r="F42" s="152"/>
      <c r="G42" s="152">
        <v>3490</v>
      </c>
      <c r="H42" s="152"/>
      <c r="I42" s="152"/>
      <c r="J42" s="152"/>
      <c r="K42" s="152"/>
      <c r="L42" s="152"/>
      <c r="M42" s="152"/>
      <c r="N42" s="181">
        <f t="shared" si="0"/>
        <v>3490</v>
      </c>
    </row>
    <row r="43" spans="1:14" x14ac:dyDescent="0.25">
      <c r="A43" s="369" t="s">
        <v>335</v>
      </c>
      <c r="B43" s="152"/>
      <c r="C43" s="152"/>
      <c r="D43" s="152"/>
      <c r="E43" s="152"/>
      <c r="F43" s="152"/>
      <c r="G43" s="152"/>
      <c r="H43" s="152">
        <v>1328</v>
      </c>
      <c r="I43" s="152"/>
      <c r="J43" s="152"/>
      <c r="K43" s="152"/>
      <c r="L43" s="152"/>
      <c r="M43" s="152"/>
      <c r="N43" s="181">
        <f t="shared" si="0"/>
        <v>1328</v>
      </c>
    </row>
    <row r="44" spans="1:14" x14ac:dyDescent="0.25">
      <c r="A44" s="369" t="s">
        <v>336</v>
      </c>
      <c r="B44" s="152"/>
      <c r="C44" s="152"/>
      <c r="D44" s="152"/>
      <c r="E44" s="152"/>
      <c r="F44" s="152"/>
      <c r="G44" s="152"/>
      <c r="H44" s="152">
        <v>3150</v>
      </c>
      <c r="I44" s="152"/>
      <c r="J44" s="152"/>
      <c r="K44" s="152"/>
      <c r="L44" s="152"/>
      <c r="M44" s="152"/>
      <c r="N44" s="181">
        <f t="shared" si="0"/>
        <v>3150</v>
      </c>
    </row>
    <row r="45" spans="1:14" x14ac:dyDescent="0.25">
      <c r="A45" s="369" t="s">
        <v>337</v>
      </c>
      <c r="B45" s="152"/>
      <c r="C45" s="152"/>
      <c r="D45" s="152"/>
      <c r="E45" s="152"/>
      <c r="F45" s="152"/>
      <c r="G45" s="152"/>
      <c r="H45" s="152">
        <f>3485+1200</f>
        <v>4685</v>
      </c>
      <c r="I45" s="152"/>
      <c r="J45" s="152"/>
      <c r="K45" s="152"/>
      <c r="L45" s="152"/>
      <c r="M45" s="152"/>
      <c r="N45" s="181">
        <f t="shared" si="0"/>
        <v>4685</v>
      </c>
    </row>
    <row r="46" spans="1:14" x14ac:dyDescent="0.25">
      <c r="A46" s="369" t="s">
        <v>338</v>
      </c>
      <c r="B46" s="152"/>
      <c r="C46" s="152"/>
      <c r="D46" s="152"/>
      <c r="E46" s="152"/>
      <c r="F46" s="152"/>
      <c r="G46" s="152"/>
      <c r="H46" s="152">
        <v>355</v>
      </c>
      <c r="I46" s="152"/>
      <c r="J46" s="152"/>
      <c r="K46" s="152"/>
      <c r="L46" s="152"/>
      <c r="M46" s="152"/>
      <c r="N46" s="181">
        <f t="shared" si="0"/>
        <v>355</v>
      </c>
    </row>
    <row r="47" spans="1:14" x14ac:dyDescent="0.25">
      <c r="A47" s="369" t="s">
        <v>339</v>
      </c>
      <c r="B47" s="152"/>
      <c r="C47" s="152"/>
      <c r="D47" s="152"/>
      <c r="E47" s="152"/>
      <c r="F47" s="152"/>
      <c r="G47" s="152"/>
      <c r="H47" s="152">
        <v>1050</v>
      </c>
      <c r="I47" s="152"/>
      <c r="J47" s="152"/>
      <c r="K47" s="152"/>
      <c r="L47" s="152"/>
      <c r="M47" s="152"/>
      <c r="N47" s="181">
        <f t="shared" si="0"/>
        <v>1050</v>
      </c>
    </row>
    <row r="48" spans="1:14" x14ac:dyDescent="0.25">
      <c r="A48" s="369" t="s">
        <v>354</v>
      </c>
      <c r="B48" s="152"/>
      <c r="C48" s="152"/>
      <c r="D48" s="152"/>
      <c r="E48" s="152"/>
      <c r="F48" s="152"/>
      <c r="G48" s="152"/>
      <c r="H48" s="152">
        <v>7440</v>
      </c>
      <c r="I48" s="152"/>
      <c r="J48" s="152"/>
      <c r="K48" s="152"/>
      <c r="L48" s="152"/>
      <c r="M48" s="152"/>
      <c r="N48" s="181">
        <f t="shared" si="0"/>
        <v>7440</v>
      </c>
    </row>
    <row r="49" spans="1:14" x14ac:dyDescent="0.25">
      <c r="A49" s="369" t="s">
        <v>219</v>
      </c>
      <c r="B49" s="152"/>
      <c r="C49" s="152"/>
      <c r="D49" s="152"/>
      <c r="E49" s="152"/>
      <c r="F49" s="152"/>
      <c r="G49" s="152"/>
      <c r="H49" s="152">
        <v>245</v>
      </c>
      <c r="I49" s="152"/>
      <c r="J49" s="152"/>
      <c r="K49" s="152"/>
      <c r="L49" s="152"/>
      <c r="M49" s="152"/>
      <c r="N49" s="181">
        <f t="shared" si="0"/>
        <v>245</v>
      </c>
    </row>
    <row r="50" spans="1:14" x14ac:dyDescent="0.25">
      <c r="A50" s="369" t="s">
        <v>311</v>
      </c>
      <c r="B50" s="152"/>
      <c r="C50" s="152"/>
      <c r="D50" s="152"/>
      <c r="E50" s="152"/>
      <c r="F50" s="152"/>
      <c r="G50" s="152"/>
      <c r="H50" s="152"/>
      <c r="I50" s="152">
        <v>180</v>
      </c>
      <c r="J50" s="152"/>
      <c r="K50" s="152"/>
      <c r="L50" s="152"/>
      <c r="M50" s="152"/>
      <c r="N50" s="181">
        <f t="shared" si="0"/>
        <v>180</v>
      </c>
    </row>
    <row r="51" spans="1:14" x14ac:dyDescent="0.25">
      <c r="A51" s="369" t="s">
        <v>309</v>
      </c>
      <c r="B51" s="152"/>
      <c r="C51" s="152"/>
      <c r="D51" s="152"/>
      <c r="E51" s="152"/>
      <c r="F51" s="152"/>
      <c r="G51" s="152"/>
      <c r="H51" s="152"/>
      <c r="I51" s="152">
        <v>200</v>
      </c>
      <c r="J51" s="152"/>
      <c r="K51" s="152"/>
      <c r="L51" s="152"/>
      <c r="M51" s="152"/>
      <c r="N51" s="181">
        <f t="shared" si="0"/>
        <v>200</v>
      </c>
    </row>
    <row r="52" spans="1:14" x14ac:dyDescent="0.25">
      <c r="A52" s="369" t="s">
        <v>371</v>
      </c>
      <c r="B52" s="152"/>
      <c r="C52" s="152"/>
      <c r="D52" s="152"/>
      <c r="E52" s="152"/>
      <c r="F52" s="152"/>
      <c r="G52" s="152"/>
      <c r="H52" s="152"/>
      <c r="I52" s="152">
        <v>4410</v>
      </c>
      <c r="J52" s="152"/>
      <c r="K52" s="152"/>
      <c r="L52" s="152"/>
      <c r="M52" s="152"/>
      <c r="N52" s="181">
        <f t="shared" si="0"/>
        <v>4410</v>
      </c>
    </row>
    <row r="53" spans="1:14" x14ac:dyDescent="0.25">
      <c r="A53" s="369" t="s">
        <v>372</v>
      </c>
      <c r="B53" s="152"/>
      <c r="C53" s="152"/>
      <c r="D53" s="152"/>
      <c r="E53" s="152"/>
      <c r="F53" s="152"/>
      <c r="G53" s="152"/>
      <c r="H53" s="152"/>
      <c r="I53" s="152">
        <v>960</v>
      </c>
      <c r="J53" s="152"/>
      <c r="K53" s="152"/>
      <c r="L53" s="152"/>
      <c r="M53" s="152"/>
      <c r="N53" s="181">
        <f t="shared" si="0"/>
        <v>960</v>
      </c>
    </row>
    <row r="54" spans="1:14" x14ac:dyDescent="0.25">
      <c r="A54" s="369" t="s">
        <v>311</v>
      </c>
      <c r="B54" s="152"/>
      <c r="C54" s="152"/>
      <c r="D54" s="152"/>
      <c r="E54" s="152"/>
      <c r="F54" s="152"/>
      <c r="G54" s="152"/>
      <c r="H54" s="152"/>
      <c r="I54" s="152"/>
      <c r="J54" s="152">
        <v>180</v>
      </c>
      <c r="K54" s="152"/>
      <c r="L54" s="152"/>
      <c r="M54" s="152"/>
      <c r="N54" s="181">
        <f t="shared" si="0"/>
        <v>180</v>
      </c>
    </row>
    <row r="55" spans="1:14" x14ac:dyDescent="0.25">
      <c r="A55" s="369" t="s">
        <v>400</v>
      </c>
      <c r="B55" s="152"/>
      <c r="C55" s="152"/>
      <c r="D55" s="152"/>
      <c r="E55" s="152"/>
      <c r="F55" s="152"/>
      <c r="G55" s="152"/>
      <c r="H55" s="152"/>
      <c r="I55" s="152"/>
      <c r="J55" s="152">
        <v>500</v>
      </c>
      <c r="K55" s="152"/>
      <c r="L55" s="152"/>
      <c r="M55" s="152"/>
      <c r="N55" s="181">
        <f t="shared" si="0"/>
        <v>500</v>
      </c>
    </row>
    <row r="56" spans="1:14" x14ac:dyDescent="0.25">
      <c r="A56" s="369" t="s">
        <v>414</v>
      </c>
      <c r="B56" s="152"/>
      <c r="C56" s="152"/>
      <c r="D56" s="152"/>
      <c r="E56" s="152"/>
      <c r="F56" s="152"/>
      <c r="G56" s="152"/>
      <c r="H56" s="152"/>
      <c r="I56" s="152"/>
      <c r="J56" s="152"/>
      <c r="K56" s="152">
        <v>6519</v>
      </c>
      <c r="L56" s="152"/>
      <c r="M56" s="152"/>
      <c r="N56" s="181">
        <f t="shared" si="0"/>
        <v>6519</v>
      </c>
    </row>
    <row r="57" spans="1:14" x14ac:dyDescent="0.25">
      <c r="A57" s="369" t="s">
        <v>415</v>
      </c>
      <c r="B57" s="152"/>
      <c r="C57" s="152"/>
      <c r="D57" s="152"/>
      <c r="E57" s="152"/>
      <c r="F57" s="152"/>
      <c r="G57" s="152"/>
      <c r="H57" s="152"/>
      <c r="I57" s="152"/>
      <c r="J57" s="152"/>
      <c r="K57" s="152">
        <v>2735</v>
      </c>
      <c r="L57" s="152"/>
      <c r="M57" s="152"/>
      <c r="N57" s="181">
        <f t="shared" si="0"/>
        <v>2735</v>
      </c>
    </row>
    <row r="58" spans="1:14" x14ac:dyDescent="0.25">
      <c r="A58" s="369" t="s">
        <v>416</v>
      </c>
      <c r="B58" s="152"/>
      <c r="C58" s="152"/>
      <c r="D58" s="152"/>
      <c r="E58" s="152"/>
      <c r="F58" s="152"/>
      <c r="G58" s="152"/>
      <c r="H58" s="152"/>
      <c r="I58" s="152"/>
      <c r="J58" s="152"/>
      <c r="K58" s="152">
        <v>480</v>
      </c>
      <c r="L58" s="152"/>
      <c r="M58" s="152"/>
      <c r="N58" s="181">
        <f t="shared" si="0"/>
        <v>480</v>
      </c>
    </row>
    <row r="59" spans="1:14" x14ac:dyDescent="0.25">
      <c r="A59" s="369" t="s">
        <v>420</v>
      </c>
      <c r="B59" s="152"/>
      <c r="C59" s="152"/>
      <c r="D59" s="152"/>
      <c r="E59" s="152"/>
      <c r="F59" s="152"/>
      <c r="G59" s="152"/>
      <c r="H59" s="152"/>
      <c r="I59" s="152"/>
      <c r="J59" s="152"/>
      <c r="K59" s="152">
        <v>1137.5</v>
      </c>
      <c r="L59" s="152"/>
      <c r="M59" s="152"/>
      <c r="N59" s="181">
        <f t="shared" si="0"/>
        <v>1137.5</v>
      </c>
    </row>
    <row r="60" spans="1:14" x14ac:dyDescent="0.25">
      <c r="A60" s="369" t="s">
        <v>421</v>
      </c>
      <c r="B60" s="152"/>
      <c r="C60" s="152"/>
      <c r="D60" s="152"/>
      <c r="E60" s="152"/>
      <c r="F60" s="152"/>
      <c r="G60" s="152"/>
      <c r="H60" s="152"/>
      <c r="I60" s="152"/>
      <c r="J60" s="152"/>
      <c r="K60" s="152">
        <v>14756</v>
      </c>
      <c r="L60" s="152"/>
      <c r="M60" s="152"/>
      <c r="N60" s="181">
        <f t="shared" si="0"/>
        <v>14756</v>
      </c>
    </row>
    <row r="61" spans="1:14" x14ac:dyDescent="0.25">
      <c r="A61" s="369" t="s">
        <v>229</v>
      </c>
      <c r="B61" s="152"/>
      <c r="C61" s="152"/>
      <c r="D61" s="152"/>
      <c r="E61" s="152"/>
      <c r="F61" s="152"/>
      <c r="G61" s="152"/>
      <c r="H61" s="152"/>
      <c r="I61" s="152"/>
      <c r="J61" s="152"/>
      <c r="K61" s="152">
        <v>1000</v>
      </c>
      <c r="L61" s="152"/>
      <c r="M61" s="152"/>
      <c r="N61" s="181">
        <f t="shared" si="0"/>
        <v>1000</v>
      </c>
    </row>
    <row r="62" spans="1:14" x14ac:dyDescent="0.25">
      <c r="A62" s="369" t="s">
        <v>422</v>
      </c>
      <c r="B62" s="152"/>
      <c r="C62" s="152"/>
      <c r="D62" s="152"/>
      <c r="E62" s="152"/>
      <c r="F62" s="152"/>
      <c r="G62" s="152"/>
      <c r="H62" s="152"/>
      <c r="I62" s="152"/>
      <c r="J62" s="152"/>
      <c r="K62" s="152">
        <v>1600</v>
      </c>
      <c r="L62" s="152"/>
      <c r="M62" s="152"/>
      <c r="N62" s="181">
        <f t="shared" si="0"/>
        <v>1600</v>
      </c>
    </row>
    <row r="63" spans="1:14" x14ac:dyDescent="0.25">
      <c r="A63" s="369" t="s">
        <v>433</v>
      </c>
      <c r="B63" s="152"/>
      <c r="C63" s="152"/>
      <c r="D63" s="152"/>
      <c r="E63" s="152"/>
      <c r="F63" s="152"/>
      <c r="G63" s="152"/>
      <c r="H63" s="152"/>
      <c r="I63" s="152"/>
      <c r="J63" s="152"/>
      <c r="K63" s="152"/>
      <c r="L63" s="152">
        <v>2007</v>
      </c>
      <c r="M63" s="152"/>
      <c r="N63" s="181">
        <f t="shared" si="0"/>
        <v>2007</v>
      </c>
    </row>
    <row r="64" spans="1:14" x14ac:dyDescent="0.25">
      <c r="A64" s="369" t="s">
        <v>311</v>
      </c>
      <c r="B64" s="152"/>
      <c r="C64" s="152"/>
      <c r="D64" s="152"/>
      <c r="E64" s="152"/>
      <c r="F64" s="152"/>
      <c r="G64" s="152"/>
      <c r="H64" s="152"/>
      <c r="I64" s="152"/>
      <c r="J64" s="152"/>
      <c r="K64" s="152"/>
      <c r="L64" s="152">
        <v>280</v>
      </c>
      <c r="M64" s="152"/>
      <c r="N64" s="181">
        <f t="shared" si="0"/>
        <v>280</v>
      </c>
    </row>
    <row r="65" spans="1:14" x14ac:dyDescent="0.25">
      <c r="A65" s="369" t="s">
        <v>434</v>
      </c>
      <c r="B65" s="152"/>
      <c r="C65" s="152"/>
      <c r="D65" s="152"/>
      <c r="E65" s="152"/>
      <c r="F65" s="152"/>
      <c r="G65" s="152"/>
      <c r="H65" s="152"/>
      <c r="I65" s="152"/>
      <c r="J65" s="152"/>
      <c r="K65" s="152"/>
      <c r="L65" s="152">
        <v>1000</v>
      </c>
      <c r="M65" s="152"/>
      <c r="N65" s="181">
        <f t="shared" si="0"/>
        <v>1000</v>
      </c>
    </row>
    <row r="66" spans="1:14" x14ac:dyDescent="0.25">
      <c r="A66" s="369" t="s">
        <v>446</v>
      </c>
      <c r="B66" s="152"/>
      <c r="C66" s="152"/>
      <c r="D66" s="152"/>
      <c r="E66" s="152"/>
      <c r="F66" s="152"/>
      <c r="G66" s="152"/>
      <c r="H66" s="152"/>
      <c r="I66" s="152"/>
      <c r="J66" s="152"/>
      <c r="K66" s="152"/>
      <c r="L66" s="152">
        <v>3926</v>
      </c>
      <c r="M66" s="152"/>
      <c r="N66" s="181">
        <f t="shared" ref="N66:N70" si="1">SUM(B66:M66)</f>
        <v>3926</v>
      </c>
    </row>
    <row r="67" spans="1:14" x14ac:dyDescent="0.25">
      <c r="A67" s="369" t="s">
        <v>447</v>
      </c>
      <c r="B67" s="152"/>
      <c r="C67" s="152"/>
      <c r="D67" s="152"/>
      <c r="E67" s="152"/>
      <c r="F67" s="152"/>
      <c r="G67" s="152"/>
      <c r="H67" s="152"/>
      <c r="I67" s="152"/>
      <c r="J67" s="152"/>
      <c r="K67" s="152"/>
      <c r="L67" s="152">
        <v>1230</v>
      </c>
      <c r="M67" s="152"/>
      <c r="N67" s="181">
        <f t="shared" si="1"/>
        <v>1230</v>
      </c>
    </row>
    <row r="68" spans="1:14" x14ac:dyDescent="0.25">
      <c r="A68" s="369" t="s">
        <v>448</v>
      </c>
      <c r="B68" s="152"/>
      <c r="C68" s="152"/>
      <c r="D68" s="152"/>
      <c r="E68" s="152"/>
      <c r="F68" s="152"/>
      <c r="G68" s="152"/>
      <c r="H68" s="152"/>
      <c r="I68" s="152"/>
      <c r="J68" s="152"/>
      <c r="K68" s="152"/>
      <c r="L68" s="152">
        <v>3076</v>
      </c>
      <c r="M68" s="152"/>
      <c r="N68" s="181">
        <f t="shared" si="1"/>
        <v>3076</v>
      </c>
    </row>
    <row r="69" spans="1:14" x14ac:dyDescent="0.25">
      <c r="A69" s="369" t="s">
        <v>322</v>
      </c>
      <c r="B69" s="152"/>
      <c r="C69" s="152"/>
      <c r="D69" s="152"/>
      <c r="E69" s="152"/>
      <c r="F69" s="152"/>
      <c r="G69" s="152"/>
      <c r="H69" s="152"/>
      <c r="I69" s="152"/>
      <c r="J69" s="152"/>
      <c r="K69" s="152"/>
      <c r="L69" s="152">
        <v>80</v>
      </c>
      <c r="M69" s="152"/>
      <c r="N69" s="181">
        <f t="shared" si="1"/>
        <v>80</v>
      </c>
    </row>
    <row r="70" spans="1:14" x14ac:dyDescent="0.25">
      <c r="A70" s="369" t="s">
        <v>449</v>
      </c>
      <c r="B70" s="152"/>
      <c r="C70" s="152"/>
      <c r="D70" s="152"/>
      <c r="E70" s="152"/>
      <c r="F70" s="152"/>
      <c r="G70" s="152"/>
      <c r="H70" s="152"/>
      <c r="I70" s="152"/>
      <c r="J70" s="152"/>
      <c r="K70" s="152"/>
      <c r="L70" s="152">
        <v>1475</v>
      </c>
      <c r="M70" s="152"/>
      <c r="N70" s="181">
        <f t="shared" si="1"/>
        <v>1475</v>
      </c>
    </row>
    <row r="71" spans="1:14" x14ac:dyDescent="0.25">
      <c r="A71" s="369" t="s">
        <v>450</v>
      </c>
      <c r="B71" s="152"/>
      <c r="C71" s="152"/>
      <c r="D71" s="152"/>
      <c r="E71" s="152"/>
      <c r="F71" s="152"/>
      <c r="G71" s="152"/>
      <c r="H71" s="152"/>
      <c r="I71" s="152"/>
      <c r="J71" s="152"/>
      <c r="K71" s="152"/>
      <c r="L71" s="152">
        <v>400</v>
      </c>
      <c r="M71" s="152"/>
      <c r="N71" s="181">
        <f t="shared" si="0"/>
        <v>400</v>
      </c>
    </row>
    <row r="72" spans="1:14" x14ac:dyDescent="0.25">
      <c r="A72" s="369" t="s">
        <v>474</v>
      </c>
      <c r="B72" s="152"/>
      <c r="C72" s="152"/>
      <c r="D72" s="152"/>
      <c r="E72" s="152"/>
      <c r="F72" s="152"/>
      <c r="G72" s="152"/>
      <c r="H72" s="152"/>
      <c r="I72" s="152"/>
      <c r="J72" s="152"/>
      <c r="K72" s="152"/>
      <c r="L72" s="152"/>
      <c r="M72" s="152">
        <v>1520</v>
      </c>
      <c r="N72" s="181">
        <f t="shared" si="0"/>
        <v>1520</v>
      </c>
    </row>
    <row r="73" spans="1:14" x14ac:dyDescent="0.25">
      <c r="A73" s="369"/>
      <c r="B73" s="152"/>
      <c r="C73" s="152"/>
      <c r="D73" s="152"/>
      <c r="E73" s="152"/>
      <c r="F73" s="152"/>
      <c r="G73" s="152"/>
      <c r="H73" s="152"/>
      <c r="I73" s="152"/>
      <c r="J73" s="152"/>
      <c r="K73" s="152"/>
      <c r="L73" s="152"/>
      <c r="M73" s="152"/>
      <c r="N73" s="181">
        <f t="shared" si="0"/>
        <v>0</v>
      </c>
    </row>
    <row r="74" spans="1:14" x14ac:dyDescent="0.25">
      <c r="A74" s="369"/>
      <c r="B74" s="152"/>
      <c r="C74" s="152"/>
      <c r="D74" s="152"/>
      <c r="E74" s="152"/>
      <c r="F74" s="152"/>
      <c r="G74" s="152"/>
      <c r="H74" s="152"/>
      <c r="I74" s="152"/>
      <c r="J74" s="152"/>
      <c r="K74" s="152"/>
      <c r="L74" s="152"/>
      <c r="M74" s="152"/>
      <c r="N74" s="181">
        <f t="shared" si="0"/>
        <v>0</v>
      </c>
    </row>
    <row r="75" spans="1:14" x14ac:dyDescent="0.25">
      <c r="A75" s="369"/>
      <c r="B75" s="152"/>
      <c r="C75" s="152"/>
      <c r="D75" s="152"/>
      <c r="E75" s="152"/>
      <c r="F75" s="152"/>
      <c r="G75" s="152"/>
      <c r="H75" s="152"/>
      <c r="I75" s="152"/>
      <c r="J75" s="152"/>
      <c r="K75" s="152"/>
      <c r="L75" s="152"/>
      <c r="M75" s="152"/>
      <c r="N75" s="181">
        <f t="shared" si="0"/>
        <v>0</v>
      </c>
    </row>
    <row r="76" spans="1:14" x14ac:dyDescent="0.25">
      <c r="A76" s="369"/>
      <c r="B76" s="152"/>
      <c r="C76" s="152"/>
      <c r="D76" s="152"/>
      <c r="E76" s="152"/>
      <c r="F76" s="152"/>
      <c r="G76" s="152"/>
      <c r="H76" s="152"/>
      <c r="I76" s="152"/>
      <c r="J76" s="152"/>
      <c r="K76" s="152"/>
      <c r="L76" s="152"/>
      <c r="M76" s="152"/>
      <c r="N76" s="181">
        <f t="shared" si="0"/>
        <v>0</v>
      </c>
    </row>
    <row r="77" spans="1:14" x14ac:dyDescent="0.25">
      <c r="A77" s="155" t="s">
        <v>91</v>
      </c>
      <c r="B77" s="166">
        <f>SUM(B3:B76)</f>
        <v>136726.22</v>
      </c>
      <c r="C77" s="166">
        <f>SUM(C3:C76)</f>
        <v>206829.35</v>
      </c>
      <c r="D77" s="166">
        <f t="shared" ref="D77:I77" si="2">SUM(D3:D76)</f>
        <v>299571.77</v>
      </c>
      <c r="E77" s="166">
        <f t="shared" si="2"/>
        <v>243727.27</v>
      </c>
      <c r="F77" s="166">
        <f t="shared" si="2"/>
        <v>257174.03</v>
      </c>
      <c r="G77" s="166">
        <f t="shared" si="2"/>
        <v>370022.3</v>
      </c>
      <c r="H77" s="166">
        <f>SUM(H3:H76)</f>
        <v>185486.44</v>
      </c>
      <c r="I77" s="166">
        <f t="shared" si="2"/>
        <v>120602.98</v>
      </c>
      <c r="J77" s="166">
        <f>SUM(J3:J76)</f>
        <v>99624.89</v>
      </c>
      <c r="K77" s="166">
        <f>SUM(K3:K76)</f>
        <v>166924.04</v>
      </c>
      <c r="L77" s="166">
        <f>SUM(L3:L76)</f>
        <v>167415.01999999999</v>
      </c>
      <c r="M77" s="166">
        <f>SUM(M3:M76)</f>
        <v>159566.54</v>
      </c>
      <c r="N77" s="186">
        <f>SUM(N3:N76)</f>
        <v>2413670.85</v>
      </c>
    </row>
    <row r="79" spans="1:14" x14ac:dyDescent="0.25">
      <c r="N79" s="96">
        <f>SUM(B77:M77)-N77</f>
        <v>0</v>
      </c>
    </row>
  </sheetData>
  <phoneticPr fontId="22" type="noConversion"/>
  <pageMargins left="0.25" right="0.25" top="0.75" bottom="0.75" header="0.3" footer="0.3"/>
  <pageSetup paperSize="9" scale="67" firstPageNumber="42949672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A1:N48"/>
  <sheetViews>
    <sheetView topLeftCell="A16" workbookViewId="0">
      <selection activeCell="M43" sqref="M43"/>
    </sheetView>
  </sheetViews>
  <sheetFormatPr defaultRowHeight="15" x14ac:dyDescent="0.25"/>
  <cols>
    <col min="1" max="1" width="29.42578125" bestFit="1" customWidth="1"/>
    <col min="6" max="6" width="10.28515625" bestFit="1" customWidth="1"/>
    <col min="14" max="14" width="12.85546875" bestFit="1" customWidth="1"/>
  </cols>
  <sheetData>
    <row r="1" spans="1:14" x14ac:dyDescent="0.25">
      <c r="A1" s="155" t="s">
        <v>198</v>
      </c>
      <c r="C1" s="155"/>
      <c r="D1" s="135" t="str">
        <f>'ВСЕ затраты'!B1</f>
        <v>2023-2024гг.</v>
      </c>
      <c r="E1" s="155"/>
      <c r="F1" s="155"/>
      <c r="G1" s="155"/>
      <c r="H1" s="155"/>
      <c r="I1" s="161"/>
      <c r="J1" s="161"/>
      <c r="K1" s="161"/>
      <c r="L1" s="161"/>
      <c r="M1" s="161"/>
      <c r="N1" s="156"/>
    </row>
    <row r="2" spans="1:14" x14ac:dyDescent="0.25">
      <c r="A2" s="156"/>
      <c r="B2" s="140" t="s">
        <v>9</v>
      </c>
      <c r="C2" s="138" t="s">
        <v>14</v>
      </c>
      <c r="D2" s="140" t="s">
        <v>15</v>
      </c>
      <c r="E2" s="138" t="s">
        <v>16</v>
      </c>
      <c r="F2" s="140" t="s">
        <v>17</v>
      </c>
      <c r="G2" s="138" t="s">
        <v>18</v>
      </c>
      <c r="H2" s="140" t="s">
        <v>19</v>
      </c>
      <c r="I2" s="138" t="s">
        <v>4</v>
      </c>
      <c r="J2" s="140" t="s">
        <v>5</v>
      </c>
      <c r="K2" s="138" t="s">
        <v>6</v>
      </c>
      <c r="L2" s="140" t="s">
        <v>7</v>
      </c>
      <c r="M2" s="138" t="s">
        <v>8</v>
      </c>
      <c r="N2" s="138" t="s">
        <v>91</v>
      </c>
    </row>
    <row r="3" spans="1:14" x14ac:dyDescent="0.25">
      <c r="A3" s="148" t="s">
        <v>95</v>
      </c>
      <c r="B3" s="191"/>
      <c r="C3" s="191">
        <v>999.6</v>
      </c>
      <c r="D3" s="191">
        <v>999.6</v>
      </c>
      <c r="E3" s="191">
        <v>989.8</v>
      </c>
      <c r="F3" s="191"/>
      <c r="G3" s="191">
        <v>4949</v>
      </c>
      <c r="H3" s="191">
        <v>1007.6</v>
      </c>
      <c r="I3" s="191">
        <f>1013.6+1019.6</f>
        <v>2033.2</v>
      </c>
      <c r="J3" s="191">
        <f>1019.6+5178+1055.6</f>
        <v>7253.2000000000007</v>
      </c>
      <c r="K3" s="191"/>
      <c r="L3" s="191">
        <v>1067.5999999999999</v>
      </c>
      <c r="M3" s="191">
        <v>5348</v>
      </c>
      <c r="N3" s="354">
        <f t="shared" ref="N3:N45" si="0">SUM(B3:M3)</f>
        <v>24647.599999999999</v>
      </c>
    </row>
    <row r="4" spans="1:14" x14ac:dyDescent="0.25">
      <c r="A4" s="142" t="s">
        <v>96</v>
      </c>
      <c r="B4" s="191">
        <f>2559.6+2275.2+2275.2</f>
        <v>7109.9999999999991</v>
      </c>
      <c r="C4" s="192">
        <f>2235+2199.2+3000</f>
        <v>7434.2</v>
      </c>
      <c r="D4" s="355">
        <f>2533.05+2199.2+2501.53</f>
        <v>7233.7800000000007</v>
      </c>
      <c r="E4" s="355">
        <f>2474.55+2274.41+2200</f>
        <v>6948.96</v>
      </c>
      <c r="F4" s="355">
        <f>2721.06+2477.89+3312</f>
        <v>8510.9500000000007</v>
      </c>
      <c r="G4" s="355">
        <f>2303.79+2311.57</f>
        <v>4615.3600000000006</v>
      </c>
      <c r="H4" s="355">
        <f>2247.2+1966.3+2251.6</f>
        <v>6465.1</v>
      </c>
      <c r="I4" s="355">
        <v>2532.6</v>
      </c>
      <c r="J4" s="192">
        <f>2546.1+1147.6+2335.2+1175.6</f>
        <v>7204.5</v>
      </c>
      <c r="K4" s="192">
        <f>2363.2+1000+2383.2+2391.2</f>
        <v>8137.5999999999995</v>
      </c>
      <c r="L4" s="192">
        <f>1087.6+1000+5438+2392.91+2431.2</f>
        <v>12349.71</v>
      </c>
      <c r="M4" s="192">
        <f>2127.3+2431.2+1000+2411.2</f>
        <v>7969.7</v>
      </c>
      <c r="N4" s="354">
        <f t="shared" si="0"/>
        <v>86512.46</v>
      </c>
    </row>
    <row r="5" spans="1:14" x14ac:dyDescent="0.25">
      <c r="A5" s="161" t="s">
        <v>121</v>
      </c>
      <c r="B5" s="191">
        <v>12796</v>
      </c>
      <c r="C5" s="191">
        <f>12596+12596+12596+12596</f>
        <v>50384</v>
      </c>
      <c r="D5" s="191">
        <f>12658</f>
        <v>12658</v>
      </c>
      <c r="E5" s="191">
        <f>12658+12658</f>
        <v>25316</v>
      </c>
      <c r="F5" s="191">
        <v>12658</v>
      </c>
      <c r="G5" s="191"/>
      <c r="H5" s="191"/>
      <c r="I5" s="191"/>
      <c r="J5" s="191"/>
      <c r="K5" s="191"/>
      <c r="L5" s="191"/>
      <c r="M5" s="191">
        <v>13096</v>
      </c>
      <c r="N5" s="354">
        <f t="shared" si="0"/>
        <v>126908</v>
      </c>
    </row>
    <row r="6" spans="1:14" x14ac:dyDescent="0.25">
      <c r="A6" s="203" t="s">
        <v>137</v>
      </c>
      <c r="B6" s="179"/>
      <c r="C6" s="179"/>
      <c r="D6" s="179"/>
      <c r="E6" s="179">
        <v>3215</v>
      </c>
      <c r="F6" s="179"/>
      <c r="G6" s="179">
        <v>3215</v>
      </c>
      <c r="H6" s="179"/>
      <c r="I6" s="179"/>
      <c r="J6" s="179">
        <v>3215</v>
      </c>
      <c r="K6" s="179"/>
      <c r="L6" s="179"/>
      <c r="M6" s="179">
        <v>3215</v>
      </c>
      <c r="N6" s="354">
        <f t="shared" si="0"/>
        <v>12860</v>
      </c>
    </row>
    <row r="7" spans="1:14" x14ac:dyDescent="0.25">
      <c r="A7" s="165" t="s">
        <v>156</v>
      </c>
      <c r="B7" s="179">
        <f>400+400+400</f>
        <v>1200</v>
      </c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354">
        <f t="shared" si="0"/>
        <v>1200</v>
      </c>
    </row>
    <row r="8" spans="1:14" x14ac:dyDescent="0.25">
      <c r="A8" s="165" t="s">
        <v>145</v>
      </c>
      <c r="B8" s="179">
        <v>1900</v>
      </c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354">
        <f t="shared" si="0"/>
        <v>1900</v>
      </c>
    </row>
    <row r="9" spans="1:14" x14ac:dyDescent="0.25">
      <c r="A9" s="165" t="s">
        <v>195</v>
      </c>
      <c r="B9" s="179"/>
      <c r="C9" s="179">
        <v>1010</v>
      </c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354">
        <f t="shared" si="0"/>
        <v>1010</v>
      </c>
    </row>
    <row r="10" spans="1:14" x14ac:dyDescent="0.25">
      <c r="A10" s="165" t="s">
        <v>136</v>
      </c>
      <c r="B10" s="179"/>
      <c r="C10" s="179">
        <v>1400</v>
      </c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354">
        <f t="shared" si="0"/>
        <v>1400</v>
      </c>
    </row>
    <row r="11" spans="1:14" x14ac:dyDescent="0.25">
      <c r="A11" s="165" t="s">
        <v>199</v>
      </c>
      <c r="B11" s="179"/>
      <c r="C11" s="179">
        <v>2000</v>
      </c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354">
        <f t="shared" si="0"/>
        <v>2000</v>
      </c>
    </row>
    <row r="12" spans="1:14" x14ac:dyDescent="0.25">
      <c r="A12" s="165" t="s">
        <v>202</v>
      </c>
      <c r="B12" s="179"/>
      <c r="C12" s="179">
        <v>1200</v>
      </c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354">
        <f t="shared" si="0"/>
        <v>1200</v>
      </c>
    </row>
    <row r="13" spans="1:14" x14ac:dyDescent="0.25">
      <c r="A13" s="165" t="s">
        <v>129</v>
      </c>
      <c r="B13" s="179"/>
      <c r="C13" s="179">
        <v>2700</v>
      </c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354">
        <f t="shared" si="0"/>
        <v>2700</v>
      </c>
    </row>
    <row r="14" spans="1:14" x14ac:dyDescent="0.25">
      <c r="A14" s="165" t="s">
        <v>211</v>
      </c>
      <c r="B14" s="179"/>
      <c r="C14" s="179"/>
      <c r="D14" s="179">
        <v>28000</v>
      </c>
      <c r="E14" s="179"/>
      <c r="F14" s="179"/>
      <c r="G14" s="179"/>
      <c r="H14" s="179"/>
      <c r="I14" s="179"/>
      <c r="J14" s="179"/>
      <c r="K14" s="179"/>
      <c r="L14" s="179"/>
      <c r="M14" s="179"/>
      <c r="N14" s="354">
        <f t="shared" si="0"/>
        <v>28000</v>
      </c>
    </row>
    <row r="15" spans="1:14" x14ac:dyDescent="0.25">
      <c r="A15" s="358" t="s">
        <v>231</v>
      </c>
      <c r="B15" s="179"/>
      <c r="C15" s="179"/>
      <c r="D15" s="179">
        <v>3050</v>
      </c>
      <c r="E15" s="179"/>
      <c r="F15" s="179"/>
      <c r="G15" s="179"/>
      <c r="H15" s="179"/>
      <c r="I15" s="179"/>
      <c r="J15" s="179"/>
      <c r="K15" s="179"/>
      <c r="L15" s="179"/>
      <c r="M15" s="179"/>
      <c r="N15" s="354">
        <f t="shared" si="0"/>
        <v>3050</v>
      </c>
    </row>
    <row r="16" spans="1:14" x14ac:dyDescent="0.25">
      <c r="A16" s="165" t="s">
        <v>232</v>
      </c>
      <c r="B16" s="179"/>
      <c r="C16" s="179"/>
      <c r="D16" s="179">
        <v>3800</v>
      </c>
      <c r="E16" s="179"/>
      <c r="F16" s="179"/>
      <c r="G16" s="179"/>
      <c r="H16" s="179"/>
      <c r="I16" s="179"/>
      <c r="J16" s="179"/>
      <c r="K16" s="179"/>
      <c r="L16" s="179"/>
      <c r="M16" s="179"/>
      <c r="N16" s="354">
        <f t="shared" si="0"/>
        <v>3800</v>
      </c>
    </row>
    <row r="17" spans="1:14" x14ac:dyDescent="0.25">
      <c r="A17" s="165" t="s">
        <v>233</v>
      </c>
      <c r="B17" s="179"/>
      <c r="C17" s="179"/>
      <c r="D17" s="179">
        <v>860</v>
      </c>
      <c r="E17" s="179"/>
      <c r="F17" s="179"/>
      <c r="G17" s="179"/>
      <c r="H17" s="179"/>
      <c r="I17" s="179"/>
      <c r="J17" s="179"/>
      <c r="K17" s="179"/>
      <c r="L17" s="179"/>
      <c r="M17" s="179"/>
      <c r="N17" s="354">
        <f t="shared" si="0"/>
        <v>860</v>
      </c>
    </row>
    <row r="18" spans="1:14" x14ac:dyDescent="0.25">
      <c r="A18" s="165" t="s">
        <v>255</v>
      </c>
      <c r="B18" s="179"/>
      <c r="C18" s="179"/>
      <c r="D18" s="179"/>
      <c r="E18" s="179">
        <v>2760</v>
      </c>
      <c r="F18" s="179"/>
      <c r="G18" s="179"/>
      <c r="H18" s="179"/>
      <c r="I18" s="179"/>
      <c r="J18" s="179"/>
      <c r="K18" s="179"/>
      <c r="L18" s="179"/>
      <c r="M18" s="179"/>
      <c r="N18" s="354">
        <f t="shared" si="0"/>
        <v>2760</v>
      </c>
    </row>
    <row r="19" spans="1:14" x14ac:dyDescent="0.25">
      <c r="A19" s="165" t="s">
        <v>262</v>
      </c>
      <c r="B19" s="179"/>
      <c r="C19" s="179"/>
      <c r="D19" s="179"/>
      <c r="E19" s="179">
        <v>2767.32</v>
      </c>
      <c r="F19" s="179">
        <v>6319.52</v>
      </c>
      <c r="G19" s="179"/>
      <c r="H19" s="179"/>
      <c r="I19" s="179"/>
      <c r="J19" s="179"/>
      <c r="K19" s="179"/>
      <c r="L19" s="179"/>
      <c r="M19" s="179"/>
      <c r="N19" s="354">
        <f t="shared" si="0"/>
        <v>9086.84</v>
      </c>
    </row>
    <row r="20" spans="1:14" x14ac:dyDescent="0.25">
      <c r="A20" s="165" t="s">
        <v>265</v>
      </c>
      <c r="B20" s="179"/>
      <c r="C20" s="179"/>
      <c r="D20" s="179"/>
      <c r="E20" s="179"/>
      <c r="F20" s="179">
        <v>109720</v>
      </c>
      <c r="G20" s="179"/>
      <c r="H20" s="179"/>
      <c r="I20" s="179"/>
      <c r="J20" s="179"/>
      <c r="K20" s="179"/>
      <c r="L20" s="179"/>
      <c r="M20" s="179"/>
      <c r="N20" s="354">
        <f t="shared" si="0"/>
        <v>109720</v>
      </c>
    </row>
    <row r="21" spans="1:14" x14ac:dyDescent="0.25">
      <c r="A21" s="165" t="s">
        <v>284</v>
      </c>
      <c r="B21" s="179"/>
      <c r="C21" s="179"/>
      <c r="D21" s="179"/>
      <c r="E21" s="179"/>
      <c r="F21" s="179">
        <v>2300</v>
      </c>
      <c r="G21" s="179"/>
      <c r="H21" s="179"/>
      <c r="I21" s="179"/>
      <c r="J21" s="179"/>
      <c r="K21" s="179"/>
      <c r="L21" s="179"/>
      <c r="M21" s="179"/>
      <c r="N21" s="354">
        <f t="shared" si="0"/>
        <v>2300</v>
      </c>
    </row>
    <row r="22" spans="1:14" x14ac:dyDescent="0.25">
      <c r="A22" s="165" t="s">
        <v>285</v>
      </c>
      <c r="B22" s="179"/>
      <c r="C22" s="179"/>
      <c r="D22" s="179"/>
      <c r="E22" s="179"/>
      <c r="F22" s="179">
        <v>640</v>
      </c>
      <c r="G22" s="179"/>
      <c r="H22" s="179">
        <v>900</v>
      </c>
      <c r="I22" s="179"/>
      <c r="J22" s="179"/>
      <c r="K22" s="179"/>
      <c r="L22" s="179"/>
      <c r="M22" s="179"/>
      <c r="N22" s="354">
        <f t="shared" si="0"/>
        <v>1540</v>
      </c>
    </row>
    <row r="23" spans="1:14" x14ac:dyDescent="0.25">
      <c r="A23" s="165" t="s">
        <v>232</v>
      </c>
      <c r="B23" s="179"/>
      <c r="C23" s="179"/>
      <c r="D23" s="179"/>
      <c r="E23" s="179"/>
      <c r="F23" s="179"/>
      <c r="G23" s="179">
        <v>2800</v>
      </c>
      <c r="H23" s="179"/>
      <c r="I23" s="179"/>
      <c r="J23" s="179"/>
      <c r="K23" s="179"/>
      <c r="L23" s="179"/>
      <c r="M23" s="179"/>
      <c r="N23" s="354">
        <f t="shared" si="0"/>
        <v>2800</v>
      </c>
    </row>
    <row r="24" spans="1:14" x14ac:dyDescent="0.25">
      <c r="A24" s="165" t="s">
        <v>312</v>
      </c>
      <c r="B24" s="179"/>
      <c r="C24" s="179"/>
      <c r="D24" s="179"/>
      <c r="E24" s="179"/>
      <c r="F24" s="179"/>
      <c r="G24" s="179">
        <v>2480</v>
      </c>
      <c r="H24" s="179"/>
      <c r="I24" s="179"/>
      <c r="J24" s="179"/>
      <c r="K24" s="179"/>
      <c r="L24" s="179"/>
      <c r="M24" s="179"/>
      <c r="N24" s="354">
        <f t="shared" si="0"/>
        <v>2480</v>
      </c>
    </row>
    <row r="25" spans="1:14" x14ac:dyDescent="0.25">
      <c r="A25" s="165" t="s">
        <v>325</v>
      </c>
      <c r="B25" s="179"/>
      <c r="C25" s="179"/>
      <c r="D25" s="179"/>
      <c r="E25" s="179"/>
      <c r="F25" s="179"/>
      <c r="G25" s="179">
        <v>12700</v>
      </c>
      <c r="H25" s="179"/>
      <c r="I25" s="179"/>
      <c r="J25" s="179"/>
      <c r="K25" s="179"/>
      <c r="L25" s="179"/>
      <c r="M25" s="179"/>
      <c r="N25" s="354">
        <f t="shared" si="0"/>
        <v>12700</v>
      </c>
    </row>
    <row r="26" spans="1:14" x14ac:dyDescent="0.25">
      <c r="A26" s="165" t="s">
        <v>355</v>
      </c>
      <c r="B26" s="179"/>
      <c r="C26" s="179"/>
      <c r="D26" s="179"/>
      <c r="E26" s="179"/>
      <c r="F26" s="179"/>
      <c r="G26" s="179"/>
      <c r="H26" s="179">
        <v>1500</v>
      </c>
      <c r="I26" s="179"/>
      <c r="J26" s="179"/>
      <c r="K26" s="179"/>
      <c r="L26" s="179"/>
      <c r="M26" s="179"/>
      <c r="N26" s="354">
        <f t="shared" si="0"/>
        <v>1500</v>
      </c>
    </row>
    <row r="27" spans="1:14" x14ac:dyDescent="0.25">
      <c r="A27" s="165" t="s">
        <v>373</v>
      </c>
      <c r="B27" s="179"/>
      <c r="C27" s="179"/>
      <c r="D27" s="179"/>
      <c r="E27" s="179"/>
      <c r="F27" s="179"/>
      <c r="G27" s="179"/>
      <c r="H27" s="179"/>
      <c r="I27" s="179">
        <v>1200</v>
      </c>
      <c r="J27" s="179"/>
      <c r="K27" s="179"/>
      <c r="L27" s="179"/>
      <c r="M27" s="179"/>
      <c r="N27" s="354">
        <f t="shared" si="0"/>
        <v>1200</v>
      </c>
    </row>
    <row r="28" spans="1:14" x14ac:dyDescent="0.25">
      <c r="A28" s="165" t="s">
        <v>378</v>
      </c>
      <c r="B28" s="179"/>
      <c r="C28" s="179"/>
      <c r="D28" s="179"/>
      <c r="E28" s="179"/>
      <c r="F28" s="179"/>
      <c r="G28" s="179"/>
      <c r="H28" s="179"/>
      <c r="I28" s="179"/>
      <c r="J28" s="179">
        <v>5450</v>
      </c>
      <c r="K28" s="179"/>
      <c r="L28" s="179"/>
      <c r="M28" s="179"/>
      <c r="N28" s="354">
        <f t="shared" si="0"/>
        <v>5450</v>
      </c>
    </row>
    <row r="29" spans="1:14" x14ac:dyDescent="0.25">
      <c r="A29" s="165" t="s">
        <v>379</v>
      </c>
      <c r="B29" s="179"/>
      <c r="C29" s="179"/>
      <c r="D29" s="179"/>
      <c r="E29" s="179"/>
      <c r="F29" s="179"/>
      <c r="G29" s="179"/>
      <c r="H29" s="179"/>
      <c r="I29" s="179"/>
      <c r="J29" s="179">
        <v>6900</v>
      </c>
      <c r="K29" s="179"/>
      <c r="L29" s="179"/>
      <c r="M29" s="179"/>
      <c r="N29" s="354">
        <f t="shared" si="0"/>
        <v>6900</v>
      </c>
    </row>
    <row r="30" spans="1:14" x14ac:dyDescent="0.25">
      <c r="A30" s="165" t="s">
        <v>387</v>
      </c>
      <c r="B30" s="179"/>
      <c r="C30" s="179"/>
      <c r="D30" s="179"/>
      <c r="E30" s="179"/>
      <c r="F30" s="179"/>
      <c r="G30" s="179"/>
      <c r="H30" s="179"/>
      <c r="I30" s="179"/>
      <c r="J30" s="179">
        <v>3600</v>
      </c>
      <c r="K30" s="179"/>
      <c r="L30" s="179"/>
      <c r="M30" s="179"/>
      <c r="N30" s="354">
        <f t="shared" si="0"/>
        <v>3600</v>
      </c>
    </row>
    <row r="31" spans="1:14" x14ac:dyDescent="0.25">
      <c r="A31" s="165" t="s">
        <v>388</v>
      </c>
      <c r="B31" s="179"/>
      <c r="C31" s="179"/>
      <c r="D31" s="179"/>
      <c r="E31" s="179"/>
      <c r="F31" s="179"/>
      <c r="G31" s="179"/>
      <c r="H31" s="179"/>
      <c r="I31" s="179"/>
      <c r="J31" s="179">
        <f>3400+1700</f>
        <v>5100</v>
      </c>
      <c r="K31" s="179"/>
      <c r="L31" s="179"/>
      <c r="M31" s="179"/>
      <c r="N31" s="354">
        <f t="shared" si="0"/>
        <v>5100</v>
      </c>
    </row>
    <row r="32" spans="1:14" x14ac:dyDescent="0.25">
      <c r="A32" s="165" t="s">
        <v>405</v>
      </c>
      <c r="B32" s="179"/>
      <c r="C32" s="179"/>
      <c r="D32" s="179"/>
      <c r="E32" s="179"/>
      <c r="F32" s="179"/>
      <c r="G32" s="179"/>
      <c r="H32" s="179"/>
      <c r="I32" s="179"/>
      <c r="J32" s="179"/>
      <c r="K32" s="179">
        <f>9700+18000</f>
        <v>27700</v>
      </c>
      <c r="L32" s="179"/>
      <c r="M32" s="179"/>
      <c r="N32" s="354">
        <f t="shared" si="0"/>
        <v>27700</v>
      </c>
    </row>
    <row r="33" spans="1:14" x14ac:dyDescent="0.25">
      <c r="A33" s="165" t="s">
        <v>413</v>
      </c>
      <c r="B33" s="179"/>
      <c r="C33" s="179"/>
      <c r="D33" s="179"/>
      <c r="E33" s="179"/>
      <c r="F33" s="179"/>
      <c r="G33" s="179"/>
      <c r="H33" s="179"/>
      <c r="I33" s="179"/>
      <c r="J33" s="179"/>
      <c r="K33" s="179">
        <v>7283</v>
      </c>
      <c r="L33" s="179"/>
      <c r="M33" s="179"/>
      <c r="N33" s="354">
        <f t="shared" si="0"/>
        <v>7283</v>
      </c>
    </row>
    <row r="34" spans="1:14" x14ac:dyDescent="0.25">
      <c r="A34" s="165" t="s">
        <v>425</v>
      </c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>
        <v>2905.69</v>
      </c>
      <c r="M34" s="179"/>
      <c r="N34" s="354">
        <f t="shared" si="0"/>
        <v>2905.69</v>
      </c>
    </row>
    <row r="35" spans="1:14" x14ac:dyDescent="0.25">
      <c r="A35" s="165" t="s">
        <v>429</v>
      </c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>
        <v>14763</v>
      </c>
      <c r="M35" s="179"/>
      <c r="N35" s="354">
        <f t="shared" si="0"/>
        <v>14763</v>
      </c>
    </row>
    <row r="36" spans="1:14" x14ac:dyDescent="0.25">
      <c r="A36" s="165" t="s">
        <v>451</v>
      </c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>
        <v>7000</v>
      </c>
      <c r="M36" s="179"/>
      <c r="N36" s="354">
        <f t="shared" si="0"/>
        <v>7000</v>
      </c>
    </row>
    <row r="37" spans="1:14" x14ac:dyDescent="0.25">
      <c r="A37" s="165" t="s">
        <v>452</v>
      </c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>
        <v>11600</v>
      </c>
      <c r="M37" s="179"/>
      <c r="N37" s="354">
        <f t="shared" si="0"/>
        <v>11600</v>
      </c>
    </row>
    <row r="38" spans="1:14" x14ac:dyDescent="0.25">
      <c r="A38" s="165" t="s">
        <v>453</v>
      </c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>
        <v>960</v>
      </c>
      <c r="M38" s="179"/>
      <c r="N38" s="354">
        <f t="shared" si="0"/>
        <v>960</v>
      </c>
    </row>
    <row r="39" spans="1:14" x14ac:dyDescent="0.25">
      <c r="A39" s="165" t="s">
        <v>465</v>
      </c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>
        <v>2345</v>
      </c>
      <c r="N39" s="354">
        <f t="shared" ref="N39:N41" si="1">SUM(B39:M39)</f>
        <v>2345</v>
      </c>
    </row>
    <row r="40" spans="1:14" x14ac:dyDescent="0.25">
      <c r="A40" s="165" t="s">
        <v>477</v>
      </c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>
        <v>710</v>
      </c>
      <c r="N40" s="354">
        <f t="shared" si="1"/>
        <v>710</v>
      </c>
    </row>
    <row r="41" spans="1:14" x14ac:dyDescent="0.25">
      <c r="A41" s="165" t="s">
        <v>478</v>
      </c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>
        <v>2684</v>
      </c>
      <c r="N41" s="354">
        <f t="shared" si="1"/>
        <v>2684</v>
      </c>
    </row>
    <row r="42" spans="1:14" x14ac:dyDescent="0.25">
      <c r="A42" s="165" t="s">
        <v>479</v>
      </c>
      <c r="B42" s="179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>
        <f>35937</f>
        <v>35937</v>
      </c>
      <c r="N42" s="354">
        <f t="shared" si="0"/>
        <v>35937</v>
      </c>
    </row>
    <row r="43" spans="1:14" x14ac:dyDescent="0.25">
      <c r="A43" s="165" t="s">
        <v>480</v>
      </c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>
        <v>560</v>
      </c>
      <c r="N43" s="354">
        <f t="shared" si="0"/>
        <v>560</v>
      </c>
    </row>
    <row r="44" spans="1:14" x14ac:dyDescent="0.25">
      <c r="A44" s="165" t="s">
        <v>285</v>
      </c>
      <c r="B44" s="179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>
        <v>2040</v>
      </c>
      <c r="N44" s="354">
        <f t="shared" si="0"/>
        <v>2040</v>
      </c>
    </row>
    <row r="45" spans="1:14" x14ac:dyDescent="0.25">
      <c r="A45" s="165"/>
      <c r="B45" s="179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354">
        <f t="shared" si="0"/>
        <v>0</v>
      </c>
    </row>
    <row r="46" spans="1:14" x14ac:dyDescent="0.25">
      <c r="A46" s="155" t="s">
        <v>91</v>
      </c>
      <c r="B46" s="153">
        <f t="shared" ref="B46:M46" si="2">SUM(B3:B45)</f>
        <v>23006</v>
      </c>
      <c r="C46" s="153">
        <f t="shared" si="2"/>
        <v>67127.8</v>
      </c>
      <c r="D46" s="153">
        <f t="shared" si="2"/>
        <v>56601.380000000005</v>
      </c>
      <c r="E46" s="153">
        <f t="shared" si="2"/>
        <v>41997.08</v>
      </c>
      <c r="F46" s="153">
        <f t="shared" si="2"/>
        <v>140148.47</v>
      </c>
      <c r="G46" s="153">
        <f t="shared" si="2"/>
        <v>30759.360000000001</v>
      </c>
      <c r="H46" s="153">
        <f>SUM(H3:H45)</f>
        <v>9872.7000000000007</v>
      </c>
      <c r="I46" s="153">
        <f t="shared" si="2"/>
        <v>5765.8</v>
      </c>
      <c r="J46" s="153">
        <f t="shared" si="2"/>
        <v>38722.699999999997</v>
      </c>
      <c r="K46" s="153">
        <f t="shared" si="2"/>
        <v>43120.6</v>
      </c>
      <c r="L46" s="153">
        <f t="shared" si="2"/>
        <v>50646</v>
      </c>
      <c r="M46" s="153">
        <f t="shared" si="2"/>
        <v>73904.7</v>
      </c>
      <c r="N46" s="311">
        <f>SUM(N3:N45)</f>
        <v>581672.59000000008</v>
      </c>
    </row>
    <row r="48" spans="1:14" x14ac:dyDescent="0.25">
      <c r="N48" s="160">
        <f>SUM(B46:M46)-N46</f>
        <v>0</v>
      </c>
    </row>
  </sheetData>
  <phoneticPr fontId="22" type="noConversion"/>
  <pageMargins left="0.25" right="0.25" top="0.75" bottom="0.75" header="0.3" footer="0.3"/>
  <pageSetup paperSize="9" scale="69" firstPageNumber="429496729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64"/>
  <sheetViews>
    <sheetView topLeftCell="A34" workbookViewId="0">
      <selection activeCell="A61" sqref="A61"/>
    </sheetView>
  </sheetViews>
  <sheetFormatPr defaultRowHeight="15" x14ac:dyDescent="0.25"/>
  <cols>
    <col min="1" max="1" width="29.85546875" style="94" bestFit="1" customWidth="1"/>
    <col min="2" max="2" width="11.5703125" style="1" bestFit="1" customWidth="1"/>
    <col min="3" max="3" width="9.28515625" style="1" bestFit="1" customWidth="1"/>
    <col min="4" max="5" width="8" style="1" customWidth="1"/>
    <col min="6" max="6" width="10.85546875" style="1" customWidth="1"/>
    <col min="7" max="7" width="10.7109375" style="1" customWidth="1"/>
    <col min="8" max="9" width="9.28515625" style="1" bestFit="1" customWidth="1"/>
    <col min="10" max="11" width="10.28515625" style="1" bestFit="1" customWidth="1"/>
    <col min="12" max="13" width="9.28515625" style="1" bestFit="1" customWidth="1"/>
    <col min="14" max="14" width="10.28515625" style="202" bestFit="1" customWidth="1"/>
  </cols>
  <sheetData>
    <row r="1" spans="1:14" x14ac:dyDescent="0.25">
      <c r="A1" s="133" t="s">
        <v>116</v>
      </c>
      <c r="B1" s="135" t="str">
        <f>'ВСЕ затраты'!B1</f>
        <v>2023-2024гг.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200"/>
    </row>
    <row r="2" spans="1:14" x14ac:dyDescent="0.25">
      <c r="A2" s="137"/>
      <c r="B2" s="147" t="s">
        <v>9</v>
      </c>
      <c r="C2" s="138" t="s">
        <v>14</v>
      </c>
      <c r="D2" s="147" t="s">
        <v>15</v>
      </c>
      <c r="E2" s="138" t="s">
        <v>16</v>
      </c>
      <c r="F2" s="147" t="s">
        <v>17</v>
      </c>
      <c r="G2" s="138" t="s">
        <v>18</v>
      </c>
      <c r="H2" s="147" t="s">
        <v>19</v>
      </c>
      <c r="I2" s="138" t="s">
        <v>4</v>
      </c>
      <c r="J2" s="147" t="s">
        <v>5</v>
      </c>
      <c r="K2" s="138" t="s">
        <v>6</v>
      </c>
      <c r="L2" s="147" t="s">
        <v>7</v>
      </c>
      <c r="M2" s="138" t="s">
        <v>8</v>
      </c>
      <c r="N2" s="201"/>
    </row>
    <row r="3" spans="1:14" x14ac:dyDescent="0.25">
      <c r="A3" s="177" t="s">
        <v>154</v>
      </c>
      <c r="B3" s="179">
        <v>15300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81">
        <f t="shared" ref="N3:N39" si="0">SUM(B3:M3)</f>
        <v>15300</v>
      </c>
    </row>
    <row r="4" spans="1:14" x14ac:dyDescent="0.25">
      <c r="A4" s="177" t="s">
        <v>157</v>
      </c>
      <c r="B4" s="179">
        <v>2015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81">
        <f t="shared" si="0"/>
        <v>2015</v>
      </c>
    </row>
    <row r="5" spans="1:14" x14ac:dyDescent="0.25">
      <c r="A5" s="177" t="s">
        <v>129</v>
      </c>
      <c r="B5" s="179">
        <v>2160</v>
      </c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81">
        <f t="shared" si="0"/>
        <v>2160</v>
      </c>
    </row>
    <row r="6" spans="1:14" x14ac:dyDescent="0.25">
      <c r="A6" s="177" t="s">
        <v>166</v>
      </c>
      <c r="B6" s="179">
        <v>850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81">
        <f t="shared" si="0"/>
        <v>850</v>
      </c>
    </row>
    <row r="7" spans="1:14" x14ac:dyDescent="0.25">
      <c r="A7" s="165" t="s">
        <v>162</v>
      </c>
      <c r="B7" s="179">
        <v>600</v>
      </c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83">
        <f t="shared" si="0"/>
        <v>600</v>
      </c>
    </row>
    <row r="8" spans="1:14" x14ac:dyDescent="0.25">
      <c r="A8" s="165" t="s">
        <v>131</v>
      </c>
      <c r="B8" s="179">
        <v>300</v>
      </c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83">
        <f t="shared" si="0"/>
        <v>300</v>
      </c>
    </row>
    <row r="9" spans="1:14" x14ac:dyDescent="0.25">
      <c r="A9" s="165" t="s">
        <v>163</v>
      </c>
      <c r="B9" s="179">
        <v>160.41999999999999</v>
      </c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83">
        <f t="shared" si="0"/>
        <v>160.41999999999999</v>
      </c>
    </row>
    <row r="10" spans="1:14" x14ac:dyDescent="0.25">
      <c r="A10" s="165" t="s">
        <v>164</v>
      </c>
      <c r="B10" s="179">
        <v>1050</v>
      </c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83">
        <f t="shared" si="0"/>
        <v>1050</v>
      </c>
    </row>
    <row r="11" spans="1:14" x14ac:dyDescent="0.25">
      <c r="A11" s="165" t="s">
        <v>174</v>
      </c>
      <c r="B11" s="179">
        <v>2149</v>
      </c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83">
        <f t="shared" si="0"/>
        <v>2149</v>
      </c>
    </row>
    <row r="12" spans="1:14" x14ac:dyDescent="0.25">
      <c r="A12" s="165" t="s">
        <v>175</v>
      </c>
      <c r="B12" s="179">
        <v>610</v>
      </c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83">
        <f t="shared" si="0"/>
        <v>610</v>
      </c>
    </row>
    <row r="13" spans="1:14" x14ac:dyDescent="0.25">
      <c r="A13" s="165" t="s">
        <v>176</v>
      </c>
      <c r="B13" s="179">
        <v>2550</v>
      </c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83">
        <f t="shared" si="0"/>
        <v>2550</v>
      </c>
    </row>
    <row r="14" spans="1:14" x14ac:dyDescent="0.25">
      <c r="A14" s="177" t="s">
        <v>133</v>
      </c>
      <c r="B14" s="179"/>
      <c r="C14" s="179">
        <v>9210</v>
      </c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81">
        <f t="shared" si="0"/>
        <v>9210</v>
      </c>
    </row>
    <row r="15" spans="1:14" x14ac:dyDescent="0.25">
      <c r="A15" s="177" t="s">
        <v>132</v>
      </c>
      <c r="B15" s="179"/>
      <c r="C15" s="179">
        <v>2157</v>
      </c>
      <c r="D15" s="179"/>
      <c r="E15" s="179"/>
      <c r="F15" s="179"/>
      <c r="G15" s="179"/>
      <c r="H15" s="179">
        <v>2460</v>
      </c>
      <c r="I15" s="179"/>
      <c r="J15" s="179"/>
      <c r="K15" s="179"/>
      <c r="L15" s="179">
        <f>580+1342</f>
        <v>1922</v>
      </c>
      <c r="M15" s="179"/>
      <c r="N15" s="181">
        <f t="shared" si="0"/>
        <v>6539</v>
      </c>
    </row>
    <row r="16" spans="1:14" x14ac:dyDescent="0.25">
      <c r="A16" s="177" t="s">
        <v>196</v>
      </c>
      <c r="B16" s="179"/>
      <c r="C16" s="179">
        <v>1300</v>
      </c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81">
        <f t="shared" si="0"/>
        <v>1300</v>
      </c>
    </row>
    <row r="17" spans="1:14" ht="26.25" x14ac:dyDescent="0.25">
      <c r="A17" s="177" t="s">
        <v>200</v>
      </c>
      <c r="B17" s="179"/>
      <c r="C17" s="179">
        <v>4900</v>
      </c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81">
        <f t="shared" si="0"/>
        <v>4900</v>
      </c>
    </row>
    <row r="18" spans="1:14" x14ac:dyDescent="0.25">
      <c r="A18" s="177" t="s">
        <v>201</v>
      </c>
      <c r="B18" s="179"/>
      <c r="C18" s="179">
        <v>750</v>
      </c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81">
        <f t="shared" si="0"/>
        <v>750</v>
      </c>
    </row>
    <row r="19" spans="1:14" x14ac:dyDescent="0.25">
      <c r="A19" s="177" t="s">
        <v>213</v>
      </c>
      <c r="B19" s="179"/>
      <c r="C19" s="179"/>
      <c r="D19" s="179">
        <v>1625</v>
      </c>
      <c r="E19" s="179"/>
      <c r="F19" s="179"/>
      <c r="G19" s="179"/>
      <c r="H19" s="179"/>
      <c r="I19" s="179"/>
      <c r="J19" s="179"/>
      <c r="K19" s="179"/>
      <c r="L19" s="179"/>
      <c r="M19" s="179"/>
      <c r="N19" s="181">
        <f t="shared" si="0"/>
        <v>1625</v>
      </c>
    </row>
    <row r="20" spans="1:14" x14ac:dyDescent="0.25">
      <c r="A20" s="177" t="s">
        <v>214</v>
      </c>
      <c r="B20" s="179"/>
      <c r="C20" s="179"/>
      <c r="D20" s="179">
        <v>1950</v>
      </c>
      <c r="E20" s="179"/>
      <c r="F20" s="179"/>
      <c r="G20" s="179"/>
      <c r="H20" s="179"/>
      <c r="I20" s="179"/>
      <c r="J20" s="179"/>
      <c r="K20" s="179"/>
      <c r="L20" s="179"/>
      <c r="M20" s="179"/>
      <c r="N20" s="181">
        <f t="shared" si="0"/>
        <v>1950</v>
      </c>
    </row>
    <row r="21" spans="1:14" x14ac:dyDescent="0.25">
      <c r="A21" s="177" t="s">
        <v>215</v>
      </c>
      <c r="B21" s="179"/>
      <c r="C21" s="179"/>
      <c r="D21" s="179">
        <v>120</v>
      </c>
      <c r="E21" s="179"/>
      <c r="F21" s="179"/>
      <c r="G21" s="179"/>
      <c r="H21" s="179"/>
      <c r="I21" s="179"/>
      <c r="J21" s="179"/>
      <c r="K21" s="179"/>
      <c r="L21" s="179"/>
      <c r="M21" s="179"/>
      <c r="N21" s="181">
        <f t="shared" si="0"/>
        <v>120</v>
      </c>
    </row>
    <row r="22" spans="1:14" x14ac:dyDescent="0.25">
      <c r="A22" s="177" t="s">
        <v>216</v>
      </c>
      <c r="B22" s="179"/>
      <c r="C22" s="179"/>
      <c r="D22" s="179">
        <v>5888</v>
      </c>
      <c r="E22" s="179"/>
      <c r="F22" s="179"/>
      <c r="G22" s="179"/>
      <c r="H22" s="179"/>
      <c r="I22" s="179"/>
      <c r="J22" s="179"/>
      <c r="K22" s="179"/>
      <c r="L22" s="179"/>
      <c r="M22" s="179"/>
      <c r="N22" s="181">
        <f t="shared" si="0"/>
        <v>5888</v>
      </c>
    </row>
    <row r="23" spans="1:14" x14ac:dyDescent="0.25">
      <c r="A23" s="177" t="s">
        <v>129</v>
      </c>
      <c r="B23" s="179"/>
      <c r="C23" s="179"/>
      <c r="D23" s="179"/>
      <c r="E23" s="179">
        <v>1800</v>
      </c>
      <c r="F23" s="179"/>
      <c r="G23" s="179">
        <v>540</v>
      </c>
      <c r="H23" s="179"/>
      <c r="I23" s="179"/>
      <c r="J23" s="179"/>
      <c r="K23" s="179"/>
      <c r="L23" s="179"/>
      <c r="M23" s="179"/>
      <c r="N23" s="181">
        <f t="shared" si="0"/>
        <v>2340</v>
      </c>
    </row>
    <row r="24" spans="1:14" x14ac:dyDescent="0.25">
      <c r="A24" s="177" t="s">
        <v>214</v>
      </c>
      <c r="B24" s="179"/>
      <c r="C24" s="179"/>
      <c r="D24" s="179"/>
      <c r="E24" s="179">
        <v>1140</v>
      </c>
      <c r="F24" s="179"/>
      <c r="G24" s="179"/>
      <c r="H24" s="179"/>
      <c r="I24" s="179"/>
      <c r="J24" s="179"/>
      <c r="K24" s="179"/>
      <c r="L24" s="179"/>
      <c r="M24" s="179"/>
      <c r="N24" s="181">
        <f t="shared" si="0"/>
        <v>1140</v>
      </c>
    </row>
    <row r="25" spans="1:14" x14ac:dyDescent="0.25">
      <c r="A25" s="177" t="s">
        <v>246</v>
      </c>
      <c r="B25" s="179"/>
      <c r="C25" s="179"/>
      <c r="D25" s="179"/>
      <c r="E25" s="179">
        <v>1900</v>
      </c>
      <c r="F25" s="179"/>
      <c r="G25" s="179"/>
      <c r="H25" s="179"/>
      <c r="I25" s="179"/>
      <c r="J25" s="179"/>
      <c r="K25" s="179"/>
      <c r="L25" s="179"/>
      <c r="M25" s="179"/>
      <c r="N25" s="181">
        <f t="shared" si="0"/>
        <v>1900</v>
      </c>
    </row>
    <row r="26" spans="1:14" x14ac:dyDescent="0.25">
      <c r="A26" s="177" t="s">
        <v>175</v>
      </c>
      <c r="B26" s="179"/>
      <c r="C26" s="179"/>
      <c r="D26" s="179"/>
      <c r="E26" s="179">
        <v>305</v>
      </c>
      <c r="F26" s="179"/>
      <c r="G26" s="179"/>
      <c r="H26" s="179"/>
      <c r="I26" s="179"/>
      <c r="J26" s="179"/>
      <c r="K26" s="179"/>
      <c r="L26" s="179"/>
      <c r="M26" s="179"/>
      <c r="N26" s="181">
        <f t="shared" si="0"/>
        <v>305</v>
      </c>
    </row>
    <row r="27" spans="1:14" x14ac:dyDescent="0.25">
      <c r="A27" s="177" t="s">
        <v>271</v>
      </c>
      <c r="B27" s="179"/>
      <c r="C27" s="179"/>
      <c r="D27" s="179"/>
      <c r="E27" s="179"/>
      <c r="F27" s="179">
        <v>36700</v>
      </c>
      <c r="G27" s="179"/>
      <c r="H27" s="179"/>
      <c r="I27" s="179"/>
      <c r="J27" s="179"/>
      <c r="K27" s="179"/>
      <c r="L27" s="179"/>
      <c r="M27" s="179"/>
      <c r="N27" s="181">
        <f t="shared" si="0"/>
        <v>36700</v>
      </c>
    </row>
    <row r="28" spans="1:14" x14ac:dyDescent="0.25">
      <c r="A28" s="177" t="s">
        <v>174</v>
      </c>
      <c r="B28" s="179"/>
      <c r="C28" s="179"/>
      <c r="D28" s="179"/>
      <c r="E28" s="179"/>
      <c r="F28" s="179">
        <v>720</v>
      </c>
      <c r="G28" s="179"/>
      <c r="H28" s="179"/>
      <c r="I28" s="179"/>
      <c r="J28" s="179"/>
      <c r="K28" s="179"/>
      <c r="L28" s="179"/>
      <c r="M28" s="179"/>
      <c r="N28" s="181">
        <f t="shared" si="0"/>
        <v>720</v>
      </c>
    </row>
    <row r="29" spans="1:14" x14ac:dyDescent="0.25">
      <c r="A29" s="177" t="s">
        <v>299</v>
      </c>
      <c r="B29" s="179"/>
      <c r="C29" s="179"/>
      <c r="D29" s="179"/>
      <c r="E29" s="179"/>
      <c r="F29" s="179"/>
      <c r="G29" s="179">
        <v>56760</v>
      </c>
      <c r="H29" s="179"/>
      <c r="I29" s="179"/>
      <c r="J29" s="179"/>
      <c r="K29" s="179">
        <v>18820</v>
      </c>
      <c r="L29" s="179"/>
      <c r="M29" s="179"/>
      <c r="N29" s="181">
        <f t="shared" si="0"/>
        <v>75580</v>
      </c>
    </row>
    <row r="30" spans="1:14" x14ac:dyDescent="0.25">
      <c r="A30" s="177" t="s">
        <v>300</v>
      </c>
      <c r="B30" s="179"/>
      <c r="C30" s="179"/>
      <c r="D30" s="179"/>
      <c r="E30" s="179"/>
      <c r="F30" s="179"/>
      <c r="G30" s="179">
        <v>5000</v>
      </c>
      <c r="H30" s="179"/>
      <c r="I30" s="179"/>
      <c r="J30" s="179"/>
      <c r="K30" s="179"/>
      <c r="L30" s="179"/>
      <c r="M30" s="179"/>
      <c r="N30" s="181">
        <f t="shared" si="0"/>
        <v>5000</v>
      </c>
    </row>
    <row r="31" spans="1:14" x14ac:dyDescent="0.25">
      <c r="A31" s="177" t="s">
        <v>313</v>
      </c>
      <c r="B31" s="179"/>
      <c r="C31" s="179"/>
      <c r="D31" s="179"/>
      <c r="E31" s="179"/>
      <c r="F31" s="179"/>
      <c r="G31" s="179">
        <v>1500</v>
      </c>
      <c r="H31" s="179"/>
      <c r="I31" s="179"/>
      <c r="J31" s="179"/>
      <c r="K31" s="179"/>
      <c r="L31" s="179"/>
      <c r="M31" s="179"/>
      <c r="N31" s="181">
        <f t="shared" si="0"/>
        <v>1500</v>
      </c>
    </row>
    <row r="32" spans="1:14" x14ac:dyDescent="0.25">
      <c r="A32" s="177" t="s">
        <v>314</v>
      </c>
      <c r="B32" s="179"/>
      <c r="C32" s="179"/>
      <c r="D32" s="179"/>
      <c r="E32" s="179"/>
      <c r="F32" s="179"/>
      <c r="G32" s="179">
        <v>1200</v>
      </c>
      <c r="H32" s="179"/>
      <c r="I32" s="179"/>
      <c r="J32" s="179"/>
      <c r="K32" s="179"/>
      <c r="L32" s="179"/>
      <c r="M32" s="179"/>
      <c r="N32" s="181">
        <f t="shared" si="0"/>
        <v>1200</v>
      </c>
    </row>
    <row r="33" spans="1:14" x14ac:dyDescent="0.25">
      <c r="A33" s="177" t="s">
        <v>332</v>
      </c>
      <c r="B33" s="179"/>
      <c r="C33" s="179"/>
      <c r="D33" s="179"/>
      <c r="E33" s="179"/>
      <c r="F33" s="179"/>
      <c r="G33" s="179"/>
      <c r="H33" s="179">
        <v>48420</v>
      </c>
      <c r="I33" s="179"/>
      <c r="J33" s="179"/>
      <c r="K33" s="179"/>
      <c r="L33" s="179"/>
      <c r="M33" s="179"/>
      <c r="N33" s="181">
        <f t="shared" si="0"/>
        <v>48420</v>
      </c>
    </row>
    <row r="34" spans="1:14" x14ac:dyDescent="0.25">
      <c r="A34" s="177" t="s">
        <v>334</v>
      </c>
      <c r="B34" s="179"/>
      <c r="C34" s="179"/>
      <c r="D34" s="179"/>
      <c r="E34" s="179"/>
      <c r="F34" s="179"/>
      <c r="G34" s="179"/>
      <c r="H34" s="179">
        <v>2025</v>
      </c>
      <c r="I34" s="179"/>
      <c r="J34" s="179"/>
      <c r="K34" s="179"/>
      <c r="L34" s="179"/>
      <c r="M34" s="179"/>
      <c r="N34" s="181">
        <f t="shared" si="0"/>
        <v>2025</v>
      </c>
    </row>
    <row r="35" spans="1:14" x14ac:dyDescent="0.25">
      <c r="A35" s="177" t="s">
        <v>340</v>
      </c>
      <c r="B35" s="179"/>
      <c r="C35" s="179"/>
      <c r="D35" s="179"/>
      <c r="E35" s="179"/>
      <c r="F35" s="179"/>
      <c r="G35" s="179"/>
      <c r="H35" s="179">
        <v>1140</v>
      </c>
      <c r="I35" s="179"/>
      <c r="J35" s="179"/>
      <c r="K35" s="179"/>
      <c r="L35" s="179"/>
      <c r="M35" s="179"/>
      <c r="N35" s="181">
        <f t="shared" si="0"/>
        <v>1140</v>
      </c>
    </row>
    <row r="36" spans="1:14" x14ac:dyDescent="0.25">
      <c r="A36" s="177" t="s">
        <v>341</v>
      </c>
      <c r="B36" s="179"/>
      <c r="C36" s="179"/>
      <c r="D36" s="179"/>
      <c r="E36" s="179"/>
      <c r="F36" s="179"/>
      <c r="G36" s="179"/>
      <c r="H36" s="179">
        <v>834</v>
      </c>
      <c r="I36" s="179"/>
      <c r="J36" s="179"/>
      <c r="K36" s="179"/>
      <c r="L36" s="179"/>
      <c r="M36" s="179"/>
      <c r="N36" s="181">
        <f t="shared" si="0"/>
        <v>834</v>
      </c>
    </row>
    <row r="37" spans="1:14" x14ac:dyDescent="0.25">
      <c r="A37" s="177" t="s">
        <v>342</v>
      </c>
      <c r="B37" s="179"/>
      <c r="C37" s="179"/>
      <c r="D37" s="179"/>
      <c r="E37" s="179"/>
      <c r="F37" s="179"/>
      <c r="G37" s="179"/>
      <c r="H37" s="179">
        <v>4850</v>
      </c>
      <c r="I37" s="179"/>
      <c r="J37" s="179"/>
      <c r="K37" s="179"/>
      <c r="L37" s="179"/>
      <c r="M37" s="179"/>
      <c r="N37" s="181">
        <f t="shared" si="0"/>
        <v>4850</v>
      </c>
    </row>
    <row r="38" spans="1:14" x14ac:dyDescent="0.25">
      <c r="A38" s="177" t="s">
        <v>358</v>
      </c>
      <c r="B38" s="179"/>
      <c r="C38" s="179"/>
      <c r="D38" s="179"/>
      <c r="E38" s="179"/>
      <c r="F38" s="179"/>
      <c r="G38" s="179"/>
      <c r="H38" s="179"/>
      <c r="I38" s="179">
        <v>48490</v>
      </c>
      <c r="J38" s="179"/>
      <c r="K38" s="179"/>
      <c r="L38" s="179"/>
      <c r="M38" s="179"/>
      <c r="N38" s="181">
        <f t="shared" si="0"/>
        <v>48490</v>
      </c>
    </row>
    <row r="39" spans="1:14" x14ac:dyDescent="0.25">
      <c r="A39" s="177" t="s">
        <v>359</v>
      </c>
      <c r="B39" s="179"/>
      <c r="C39" s="179"/>
      <c r="D39" s="179"/>
      <c r="E39" s="179"/>
      <c r="F39" s="179"/>
      <c r="G39" s="179"/>
      <c r="H39" s="179"/>
      <c r="I39" s="179">
        <v>10500</v>
      </c>
      <c r="J39" s="179"/>
      <c r="K39" s="179"/>
      <c r="L39" s="179"/>
      <c r="M39" s="179"/>
      <c r="N39" s="181">
        <f t="shared" si="0"/>
        <v>10500</v>
      </c>
    </row>
    <row r="40" spans="1:14" x14ac:dyDescent="0.25">
      <c r="A40" s="177" t="s">
        <v>363</v>
      </c>
      <c r="B40" s="179"/>
      <c r="C40" s="179"/>
      <c r="D40" s="179"/>
      <c r="E40" s="179"/>
      <c r="F40" s="179"/>
      <c r="G40" s="179"/>
      <c r="H40" s="179"/>
      <c r="I40" s="179">
        <v>3578.12</v>
      </c>
      <c r="J40" s="179"/>
      <c r="K40" s="179"/>
      <c r="L40" s="179"/>
      <c r="M40" s="179"/>
      <c r="N40" s="181">
        <f t="shared" ref="N40:N61" si="1">SUM(B40:M40)</f>
        <v>3578.12</v>
      </c>
    </row>
    <row r="41" spans="1:14" x14ac:dyDescent="0.25">
      <c r="A41" s="177" t="s">
        <v>364</v>
      </c>
      <c r="B41" s="179"/>
      <c r="C41" s="179"/>
      <c r="D41" s="179"/>
      <c r="E41" s="179"/>
      <c r="F41" s="179"/>
      <c r="G41" s="179"/>
      <c r="H41" s="179"/>
      <c r="I41" s="179">
        <v>1270</v>
      </c>
      <c r="J41" s="179"/>
      <c r="K41" s="179"/>
      <c r="L41" s="179"/>
      <c r="M41" s="179"/>
      <c r="N41" s="181">
        <f t="shared" si="1"/>
        <v>1270</v>
      </c>
    </row>
    <row r="42" spans="1:14" x14ac:dyDescent="0.25">
      <c r="A42" s="177" t="s">
        <v>374</v>
      </c>
      <c r="B42" s="179"/>
      <c r="C42" s="179"/>
      <c r="D42" s="179"/>
      <c r="E42" s="179"/>
      <c r="F42" s="179"/>
      <c r="G42" s="179"/>
      <c r="H42" s="179"/>
      <c r="I42" s="179"/>
      <c r="J42" s="179">
        <v>25500</v>
      </c>
      <c r="K42" s="179"/>
      <c r="L42" s="179"/>
      <c r="M42" s="179"/>
      <c r="N42" s="181">
        <f t="shared" si="1"/>
        <v>25500</v>
      </c>
    </row>
    <row r="43" spans="1:14" x14ac:dyDescent="0.25">
      <c r="A43" s="177" t="s">
        <v>375</v>
      </c>
      <c r="B43" s="179"/>
      <c r="C43" s="179"/>
      <c r="D43" s="179"/>
      <c r="E43" s="179"/>
      <c r="F43" s="179"/>
      <c r="G43" s="179"/>
      <c r="H43" s="179"/>
      <c r="I43" s="179"/>
      <c r="J43" s="179">
        <v>22790</v>
      </c>
      <c r="K43" s="179"/>
      <c r="L43" s="179"/>
      <c r="M43" s="179"/>
      <c r="N43" s="181">
        <f t="shared" si="1"/>
        <v>22790</v>
      </c>
    </row>
    <row r="44" spans="1:14" ht="26.25" x14ac:dyDescent="0.25">
      <c r="A44" s="177" t="s">
        <v>382</v>
      </c>
      <c r="B44" s="179"/>
      <c r="C44" s="179"/>
      <c r="D44" s="179"/>
      <c r="E44" s="179"/>
      <c r="F44" s="179"/>
      <c r="G44" s="179"/>
      <c r="H44" s="179"/>
      <c r="I44" s="179"/>
      <c r="J44" s="179">
        <v>47626</v>
      </c>
      <c r="K44" s="179"/>
      <c r="L44" s="179"/>
      <c r="M44" s="179"/>
      <c r="N44" s="181">
        <f t="shared" si="1"/>
        <v>47626</v>
      </c>
    </row>
    <row r="45" spans="1:14" x14ac:dyDescent="0.25">
      <c r="A45" s="177" t="s">
        <v>383</v>
      </c>
      <c r="B45" s="179"/>
      <c r="C45" s="179"/>
      <c r="D45" s="179"/>
      <c r="E45" s="179"/>
      <c r="F45" s="179"/>
      <c r="G45" s="179"/>
      <c r="H45" s="179"/>
      <c r="I45" s="179"/>
      <c r="J45" s="179">
        <v>10210</v>
      </c>
      <c r="K45" s="179"/>
      <c r="L45" s="179"/>
      <c r="M45" s="179"/>
      <c r="N45" s="181">
        <f t="shared" si="1"/>
        <v>10210</v>
      </c>
    </row>
    <row r="46" spans="1:14" x14ac:dyDescent="0.25">
      <c r="A46" s="177" t="s">
        <v>384</v>
      </c>
      <c r="B46" s="179"/>
      <c r="C46" s="179"/>
      <c r="D46" s="179"/>
      <c r="E46" s="179"/>
      <c r="F46" s="179"/>
      <c r="G46" s="179"/>
      <c r="H46" s="179"/>
      <c r="I46" s="179"/>
      <c r="J46" s="179">
        <f>1008+1795.39</f>
        <v>2803.3900000000003</v>
      </c>
      <c r="K46" s="179"/>
      <c r="L46" s="179"/>
      <c r="M46" s="179"/>
      <c r="N46" s="181">
        <f t="shared" si="1"/>
        <v>2803.3900000000003</v>
      </c>
    </row>
    <row r="47" spans="1:14" x14ac:dyDescent="0.25">
      <c r="A47" s="177" t="s">
        <v>393</v>
      </c>
      <c r="B47" s="179"/>
      <c r="C47" s="179"/>
      <c r="D47" s="179"/>
      <c r="E47" s="179"/>
      <c r="F47" s="179"/>
      <c r="G47" s="179"/>
      <c r="H47" s="179"/>
      <c r="I47" s="179"/>
      <c r="J47" s="179">
        <v>1600</v>
      </c>
      <c r="K47" s="179"/>
      <c r="L47" s="179"/>
      <c r="M47" s="179"/>
      <c r="N47" s="181">
        <f t="shared" si="1"/>
        <v>1600</v>
      </c>
    </row>
    <row r="48" spans="1:14" ht="26.25" x14ac:dyDescent="0.25">
      <c r="A48" s="177" t="s">
        <v>392</v>
      </c>
      <c r="B48" s="179"/>
      <c r="C48" s="179"/>
      <c r="D48" s="179"/>
      <c r="E48" s="179"/>
      <c r="F48" s="179"/>
      <c r="G48" s="179"/>
      <c r="H48" s="179"/>
      <c r="I48" s="179"/>
      <c r="J48" s="179">
        <v>3395</v>
      </c>
      <c r="K48" s="179"/>
      <c r="L48" s="179"/>
      <c r="M48" s="179"/>
      <c r="N48" s="181">
        <f t="shared" si="1"/>
        <v>3395</v>
      </c>
    </row>
    <row r="49" spans="1:14" x14ac:dyDescent="0.25">
      <c r="A49" s="177" t="s">
        <v>174</v>
      </c>
      <c r="B49" s="179"/>
      <c r="C49" s="179"/>
      <c r="D49" s="179"/>
      <c r="E49" s="179"/>
      <c r="F49" s="179"/>
      <c r="G49" s="179"/>
      <c r="H49" s="179"/>
      <c r="I49" s="179"/>
      <c r="J49" s="179">
        <v>1300</v>
      </c>
      <c r="K49" s="179"/>
      <c r="L49" s="179"/>
      <c r="M49" s="179"/>
      <c r="N49" s="181">
        <f t="shared" si="1"/>
        <v>1300</v>
      </c>
    </row>
    <row r="50" spans="1:14" x14ac:dyDescent="0.25">
      <c r="A50" s="177" t="s">
        <v>394</v>
      </c>
      <c r="B50" s="179"/>
      <c r="C50" s="179"/>
      <c r="D50" s="179"/>
      <c r="E50" s="179"/>
      <c r="F50" s="179"/>
      <c r="G50" s="179"/>
      <c r="H50" s="179"/>
      <c r="I50" s="179"/>
      <c r="J50" s="179">
        <v>680</v>
      </c>
      <c r="K50" s="179"/>
      <c r="L50" s="179"/>
      <c r="M50" s="179"/>
      <c r="N50" s="181">
        <f t="shared" si="1"/>
        <v>680</v>
      </c>
    </row>
    <row r="51" spans="1:14" x14ac:dyDescent="0.25">
      <c r="A51" s="177" t="s">
        <v>395</v>
      </c>
      <c r="B51" s="179"/>
      <c r="C51" s="179"/>
      <c r="D51" s="179"/>
      <c r="E51" s="179"/>
      <c r="F51" s="179"/>
      <c r="G51" s="179"/>
      <c r="H51" s="179"/>
      <c r="I51" s="179"/>
      <c r="J51" s="179">
        <v>7195</v>
      </c>
      <c r="K51" s="179"/>
      <c r="L51" s="179"/>
      <c r="M51" s="179"/>
      <c r="N51" s="181">
        <f t="shared" si="1"/>
        <v>7195</v>
      </c>
    </row>
    <row r="52" spans="1:14" x14ac:dyDescent="0.25">
      <c r="A52" s="177" t="s">
        <v>396</v>
      </c>
      <c r="B52" s="179"/>
      <c r="C52" s="179"/>
      <c r="D52" s="179"/>
      <c r="E52" s="179"/>
      <c r="F52" s="179"/>
      <c r="G52" s="179"/>
      <c r="H52" s="179"/>
      <c r="I52" s="179"/>
      <c r="J52" s="179">
        <v>4814.5</v>
      </c>
      <c r="K52" s="179"/>
      <c r="L52" s="179"/>
      <c r="M52" s="179"/>
      <c r="N52" s="181">
        <f t="shared" si="1"/>
        <v>4814.5</v>
      </c>
    </row>
    <row r="53" spans="1:14" x14ac:dyDescent="0.25">
      <c r="A53" s="177" t="s">
        <v>404</v>
      </c>
      <c r="B53" s="179"/>
      <c r="C53" s="179"/>
      <c r="D53" s="179"/>
      <c r="E53" s="179"/>
      <c r="F53" s="179"/>
      <c r="G53" s="179"/>
      <c r="H53" s="179"/>
      <c r="I53" s="179"/>
      <c r="J53" s="179"/>
      <c r="K53" s="179">
        <v>59024</v>
      </c>
      <c r="L53" s="179"/>
      <c r="M53" s="179"/>
      <c r="N53" s="181">
        <f t="shared" si="1"/>
        <v>59024</v>
      </c>
    </row>
    <row r="54" spans="1:14" x14ac:dyDescent="0.25">
      <c r="A54" s="177" t="s">
        <v>408</v>
      </c>
      <c r="B54" s="179"/>
      <c r="C54" s="179"/>
      <c r="D54" s="179"/>
      <c r="E54" s="179"/>
      <c r="F54" s="179"/>
      <c r="G54" s="179"/>
      <c r="H54" s="179"/>
      <c r="I54" s="179"/>
      <c r="J54" s="179"/>
      <c r="K54" s="179">
        <v>550</v>
      </c>
      <c r="L54" s="179"/>
      <c r="M54" s="179"/>
      <c r="N54" s="181">
        <f t="shared" si="1"/>
        <v>550</v>
      </c>
    </row>
    <row r="55" spans="1:14" x14ac:dyDescent="0.25">
      <c r="A55" s="177" t="s">
        <v>409</v>
      </c>
      <c r="B55" s="179"/>
      <c r="C55" s="179"/>
      <c r="D55" s="179"/>
      <c r="E55" s="179"/>
      <c r="F55" s="179"/>
      <c r="G55" s="179"/>
      <c r="H55" s="179"/>
      <c r="I55" s="179"/>
      <c r="J55" s="179"/>
      <c r="K55" s="179">
        <v>2239</v>
      </c>
      <c r="L55" s="179"/>
      <c r="M55" s="179"/>
      <c r="N55" s="181">
        <f t="shared" si="1"/>
        <v>2239</v>
      </c>
    </row>
    <row r="56" spans="1:14" x14ac:dyDescent="0.25">
      <c r="A56" s="177" t="s">
        <v>423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>
        <v>56225</v>
      </c>
      <c r="L56" s="179"/>
      <c r="M56" s="179"/>
      <c r="N56" s="181">
        <f t="shared" si="1"/>
        <v>56225</v>
      </c>
    </row>
    <row r="57" spans="1:14" x14ac:dyDescent="0.25">
      <c r="A57" s="177" t="s">
        <v>458</v>
      </c>
      <c r="B57" s="179"/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79">
        <v>55974</v>
      </c>
      <c r="N57" s="181">
        <f t="shared" si="1"/>
        <v>55974</v>
      </c>
    </row>
    <row r="58" spans="1:14" x14ac:dyDescent="0.25">
      <c r="A58" s="177" t="s">
        <v>133</v>
      </c>
      <c r="B58" s="179"/>
      <c r="C58" s="179"/>
      <c r="D58" s="179"/>
      <c r="E58" s="179"/>
      <c r="F58" s="179"/>
      <c r="G58" s="179"/>
      <c r="H58" s="179"/>
      <c r="I58" s="179"/>
      <c r="J58" s="179"/>
      <c r="K58" s="179"/>
      <c r="L58" s="179"/>
      <c r="M58" s="179">
        <v>20100</v>
      </c>
      <c r="N58" s="181">
        <f t="shared" si="1"/>
        <v>20100</v>
      </c>
    </row>
    <row r="59" spans="1:14" x14ac:dyDescent="0.25">
      <c r="A59" s="177" t="s">
        <v>470</v>
      </c>
      <c r="B59" s="179"/>
      <c r="C59" s="179"/>
      <c r="D59" s="179"/>
      <c r="E59" s="179"/>
      <c r="F59" s="179"/>
      <c r="G59" s="179"/>
      <c r="H59" s="179"/>
      <c r="I59" s="179"/>
      <c r="J59" s="179"/>
      <c r="K59" s="179"/>
      <c r="L59" s="179"/>
      <c r="M59" s="179">
        <v>1070</v>
      </c>
      <c r="N59" s="181">
        <f t="shared" si="1"/>
        <v>1070</v>
      </c>
    </row>
    <row r="60" spans="1:14" x14ac:dyDescent="0.25">
      <c r="A60" s="177" t="s">
        <v>471</v>
      </c>
      <c r="B60" s="179"/>
      <c r="C60" s="179"/>
      <c r="D60" s="179"/>
      <c r="E60" s="179"/>
      <c r="F60" s="179"/>
      <c r="G60" s="179"/>
      <c r="H60" s="179"/>
      <c r="I60" s="179"/>
      <c r="J60" s="179"/>
      <c r="K60" s="179"/>
      <c r="L60" s="179"/>
      <c r="M60" s="179">
        <v>700</v>
      </c>
      <c r="N60" s="181">
        <f t="shared" si="1"/>
        <v>700</v>
      </c>
    </row>
    <row r="61" spans="1:14" x14ac:dyDescent="0.25">
      <c r="A61" s="177"/>
      <c r="B61" s="179"/>
      <c r="C61" s="179"/>
      <c r="D61" s="179"/>
      <c r="E61" s="179"/>
      <c r="F61" s="179"/>
      <c r="G61" s="179"/>
      <c r="H61" s="179"/>
      <c r="I61" s="179"/>
      <c r="J61" s="179"/>
      <c r="K61" s="179"/>
      <c r="L61" s="179"/>
      <c r="M61" s="179"/>
      <c r="N61" s="181">
        <f t="shared" si="1"/>
        <v>0</v>
      </c>
    </row>
    <row r="62" spans="1:14" x14ac:dyDescent="0.25">
      <c r="A62" s="133" t="s">
        <v>91</v>
      </c>
      <c r="B62" s="186">
        <f t="shared" ref="B62:N62" si="2">SUM(B3:B61)</f>
        <v>27744.42</v>
      </c>
      <c r="C62" s="186">
        <f t="shared" si="2"/>
        <v>18317</v>
      </c>
      <c r="D62" s="186">
        <f t="shared" si="2"/>
        <v>9583</v>
      </c>
      <c r="E62" s="186">
        <f t="shared" si="2"/>
        <v>5145</v>
      </c>
      <c r="F62" s="186">
        <f t="shared" si="2"/>
        <v>37420</v>
      </c>
      <c r="G62" s="186">
        <f t="shared" si="2"/>
        <v>65000</v>
      </c>
      <c r="H62" s="186">
        <f>SUM(H3:H61)</f>
        <v>59729</v>
      </c>
      <c r="I62" s="186">
        <f t="shared" si="2"/>
        <v>63838.12</v>
      </c>
      <c r="J62" s="186">
        <f t="shared" si="2"/>
        <v>127913.89</v>
      </c>
      <c r="K62" s="186">
        <f t="shared" si="2"/>
        <v>136858</v>
      </c>
      <c r="L62" s="186">
        <f t="shared" si="2"/>
        <v>1922</v>
      </c>
      <c r="M62" s="186">
        <f t="shared" si="2"/>
        <v>77844</v>
      </c>
      <c r="N62" s="186">
        <f t="shared" si="2"/>
        <v>631314.42999999993</v>
      </c>
    </row>
    <row r="64" spans="1:14" x14ac:dyDescent="0.25">
      <c r="N64" s="202">
        <f>SUM(B62:M62)-N62</f>
        <v>0</v>
      </c>
    </row>
  </sheetData>
  <phoneticPr fontId="22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429496729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O57"/>
  <sheetViews>
    <sheetView workbookViewId="0">
      <selection activeCell="F9" sqref="F9"/>
    </sheetView>
  </sheetViews>
  <sheetFormatPr defaultRowHeight="15" x14ac:dyDescent="0.25"/>
  <cols>
    <col min="1" max="1" width="34.42578125" customWidth="1"/>
    <col min="3" max="3" width="10.28515625" bestFit="1" customWidth="1"/>
    <col min="4" max="8" width="10.28515625" customWidth="1"/>
    <col min="9" max="10" width="10.28515625" bestFit="1" customWidth="1"/>
    <col min="11" max="11" width="10.42578125" bestFit="1" customWidth="1"/>
    <col min="12" max="12" width="9.28515625" bestFit="1" customWidth="1"/>
    <col min="14" max="14" width="12.85546875" bestFit="1" customWidth="1"/>
    <col min="18" max="18" width="10.28515625" bestFit="1" customWidth="1"/>
  </cols>
  <sheetData>
    <row r="1" spans="1:15" x14ac:dyDescent="0.25">
      <c r="A1" s="155" t="s">
        <v>117</v>
      </c>
      <c r="B1" s="135" t="str">
        <f>'ВСЕ затраты'!B1</f>
        <v>2023-2024гг.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5" x14ac:dyDescent="0.25">
      <c r="A2" s="156"/>
      <c r="B2" s="178" t="s">
        <v>9</v>
      </c>
      <c r="C2" s="172" t="s">
        <v>14</v>
      </c>
      <c r="D2" s="178" t="s">
        <v>15</v>
      </c>
      <c r="E2" s="172" t="s">
        <v>16</v>
      </c>
      <c r="F2" s="178" t="s">
        <v>17</v>
      </c>
      <c r="G2" s="172" t="s">
        <v>18</v>
      </c>
      <c r="H2" s="178" t="s">
        <v>19</v>
      </c>
      <c r="I2" s="172" t="s">
        <v>4</v>
      </c>
      <c r="J2" s="178" t="s">
        <v>5</v>
      </c>
      <c r="K2" s="172" t="s">
        <v>6</v>
      </c>
      <c r="L2" s="178" t="s">
        <v>7</v>
      </c>
      <c r="M2" s="172" t="s">
        <v>8</v>
      </c>
      <c r="N2" s="152"/>
    </row>
    <row r="3" spans="1:15" ht="26.25" x14ac:dyDescent="0.25">
      <c r="A3" s="177" t="s">
        <v>208</v>
      </c>
      <c r="B3" s="179">
        <v>93333.9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>
        <f t="shared" ref="N3:N54" si="0">SUM(B3:M3)</f>
        <v>93333.9</v>
      </c>
    </row>
    <row r="4" spans="1:15" s="343" customFormat="1" ht="14.25" x14ac:dyDescent="0.2">
      <c r="A4" s="349" t="s">
        <v>194</v>
      </c>
      <c r="B4" s="348"/>
      <c r="C4" s="348"/>
      <c r="D4" s="348">
        <v>155856</v>
      </c>
      <c r="E4" s="348"/>
      <c r="F4" s="348"/>
      <c r="G4" s="348"/>
      <c r="H4" s="348"/>
      <c r="I4" s="348"/>
      <c r="J4" s="348"/>
      <c r="K4" s="348"/>
      <c r="L4" s="348"/>
      <c r="M4" s="348"/>
      <c r="N4" s="348">
        <f t="shared" ref="N4:N6" si="1">SUM(B4:M4)</f>
        <v>155856</v>
      </c>
      <c r="O4" s="343" t="s">
        <v>238</v>
      </c>
    </row>
    <row r="5" spans="1:15" s="343" customFormat="1" ht="14.25" x14ac:dyDescent="0.2">
      <c r="A5" s="349" t="s">
        <v>234</v>
      </c>
      <c r="B5" s="348"/>
      <c r="C5" s="348"/>
      <c r="D5" s="348">
        <v>198800</v>
      </c>
      <c r="E5" s="348"/>
      <c r="F5" s="348"/>
      <c r="G5" s="348"/>
      <c r="H5" s="348"/>
      <c r="I5" s="348"/>
      <c r="J5" s="348"/>
      <c r="K5" s="348"/>
      <c r="L5" s="348"/>
      <c r="M5" s="348"/>
      <c r="N5" s="348">
        <f t="shared" si="1"/>
        <v>198800</v>
      </c>
    </row>
    <row r="6" spans="1:15" s="343" customFormat="1" ht="14.25" x14ac:dyDescent="0.2">
      <c r="A6" s="349" t="s">
        <v>227</v>
      </c>
      <c r="B6" s="348"/>
      <c r="C6" s="348"/>
      <c r="D6" s="348">
        <v>25000</v>
      </c>
      <c r="E6" s="348"/>
      <c r="F6" s="348"/>
      <c r="G6" s="348"/>
      <c r="H6" s="348"/>
      <c r="I6" s="348"/>
      <c r="J6" s="348"/>
      <c r="K6" s="348"/>
      <c r="L6" s="348"/>
      <c r="M6" s="348"/>
      <c r="N6" s="348">
        <f t="shared" si="1"/>
        <v>25000</v>
      </c>
    </row>
    <row r="7" spans="1:15" s="343" customFormat="1" ht="14.25" x14ac:dyDescent="0.2">
      <c r="A7" s="349" t="s">
        <v>212</v>
      </c>
      <c r="B7" s="348"/>
      <c r="C7" s="348"/>
      <c r="D7" s="348">
        <v>38500</v>
      </c>
      <c r="E7" s="348"/>
      <c r="F7" s="348"/>
      <c r="G7" s="348"/>
      <c r="H7" s="348"/>
      <c r="I7" s="348"/>
      <c r="J7" s="348"/>
      <c r="K7" s="348"/>
      <c r="L7" s="348"/>
      <c r="M7" s="348"/>
      <c r="N7" s="348">
        <f>SUM(B7:M7)</f>
        <v>38500</v>
      </c>
    </row>
    <row r="8" spans="1:15" x14ac:dyDescent="0.25">
      <c r="A8" s="165" t="s">
        <v>241</v>
      </c>
      <c r="B8" s="179"/>
      <c r="C8" s="179"/>
      <c r="D8" s="179"/>
      <c r="E8" s="179">
        <v>99190</v>
      </c>
      <c r="F8" s="179"/>
      <c r="G8" s="179"/>
      <c r="H8" s="179"/>
      <c r="I8" s="179"/>
      <c r="J8" s="179"/>
      <c r="K8" s="179"/>
      <c r="L8" s="179"/>
      <c r="M8" s="179"/>
      <c r="N8" s="354">
        <f>SUM(B8:M8)</f>
        <v>99190</v>
      </c>
    </row>
    <row r="9" spans="1:15" x14ac:dyDescent="0.25">
      <c r="A9" s="152" t="s">
        <v>270</v>
      </c>
      <c r="B9" s="179"/>
      <c r="C9" s="179"/>
      <c r="D9" s="179"/>
      <c r="E9" s="179"/>
      <c r="F9" s="179">
        <v>206419</v>
      </c>
      <c r="G9" s="179"/>
      <c r="H9" s="179"/>
      <c r="I9" s="179"/>
      <c r="J9" s="179"/>
      <c r="K9" s="179"/>
      <c r="L9" s="179"/>
      <c r="M9" s="179"/>
      <c r="N9" s="179">
        <f t="shared" si="0"/>
        <v>206419</v>
      </c>
    </row>
    <row r="10" spans="1:15" x14ac:dyDescent="0.25">
      <c r="A10" s="152" t="s">
        <v>357</v>
      </c>
      <c r="B10" s="179"/>
      <c r="C10" s="179"/>
      <c r="D10" s="179"/>
      <c r="E10" s="179"/>
      <c r="F10" s="179"/>
      <c r="G10" s="179"/>
      <c r="H10" s="179"/>
      <c r="I10" s="179">
        <v>80000</v>
      </c>
      <c r="J10" s="179"/>
      <c r="K10" s="179"/>
      <c r="L10" s="179"/>
      <c r="M10" s="179"/>
      <c r="N10" s="179">
        <f t="shared" si="0"/>
        <v>80000</v>
      </c>
    </row>
    <row r="11" spans="1:15" x14ac:dyDescent="0.25">
      <c r="A11" s="324" t="s">
        <v>381</v>
      </c>
      <c r="B11" s="179"/>
      <c r="C11" s="179"/>
      <c r="D11" s="179"/>
      <c r="E11" s="179"/>
      <c r="F11" s="179"/>
      <c r="G11" s="179"/>
      <c r="H11" s="179"/>
      <c r="I11" s="179"/>
      <c r="J11" s="179">
        <v>60100</v>
      </c>
      <c r="K11" s="179"/>
      <c r="L11" s="179"/>
      <c r="M11" s="179"/>
      <c r="N11" s="179">
        <f t="shared" si="0"/>
        <v>60100</v>
      </c>
    </row>
    <row r="12" spans="1:15" x14ac:dyDescent="0.25">
      <c r="A12" s="324" t="s">
        <v>401</v>
      </c>
      <c r="B12" s="179"/>
      <c r="C12" s="179"/>
      <c r="D12" s="179"/>
      <c r="E12" s="179"/>
      <c r="F12" s="179"/>
      <c r="G12" s="179"/>
      <c r="H12" s="179">
        <f>105908+45389.4</f>
        <v>151297.4</v>
      </c>
      <c r="I12" s="179"/>
      <c r="J12" s="179"/>
      <c r="K12" s="179"/>
      <c r="L12" s="179"/>
      <c r="M12" s="179"/>
      <c r="N12" s="179">
        <f t="shared" si="0"/>
        <v>151297.4</v>
      </c>
    </row>
    <row r="13" spans="1:15" x14ac:dyDescent="0.25">
      <c r="A13" s="324" t="s">
        <v>403</v>
      </c>
      <c r="B13" s="179"/>
      <c r="C13" s="179"/>
      <c r="D13" s="179"/>
      <c r="E13" s="179"/>
      <c r="F13" s="179"/>
      <c r="G13" s="179"/>
      <c r="H13" s="179"/>
      <c r="I13" s="179"/>
      <c r="J13" s="179">
        <v>89090</v>
      </c>
      <c r="K13" s="179"/>
      <c r="L13" s="179"/>
      <c r="M13" s="179"/>
      <c r="N13" s="179">
        <f t="shared" si="0"/>
        <v>89090</v>
      </c>
    </row>
    <row r="14" spans="1:15" x14ac:dyDescent="0.25">
      <c r="A14" s="152" t="s">
        <v>406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79">
        <f>46000+23080</f>
        <v>69080</v>
      </c>
      <c r="L14" s="179"/>
      <c r="M14" s="179"/>
      <c r="N14" s="179">
        <f t="shared" si="0"/>
        <v>69080</v>
      </c>
    </row>
    <row r="15" spans="1:15" x14ac:dyDescent="0.25">
      <c r="A15" s="365" t="s">
        <v>294</v>
      </c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>
        <f t="shared" si="0"/>
        <v>0</v>
      </c>
    </row>
    <row r="16" spans="1:15" x14ac:dyDescent="0.25">
      <c r="A16" s="152" t="s">
        <v>295</v>
      </c>
      <c r="B16" s="179"/>
      <c r="C16" s="179"/>
      <c r="D16" s="179"/>
      <c r="E16" s="179"/>
      <c r="F16" s="179"/>
      <c r="G16" s="179">
        <v>20490</v>
      </c>
      <c r="H16" s="179"/>
      <c r="I16" s="179"/>
      <c r="J16" s="179"/>
      <c r="K16" s="179"/>
      <c r="L16" s="179"/>
      <c r="M16" s="179"/>
      <c r="N16" s="179">
        <f t="shared" si="0"/>
        <v>20490</v>
      </c>
    </row>
    <row r="17" spans="1:14" x14ac:dyDescent="0.25">
      <c r="A17" s="325" t="s">
        <v>296</v>
      </c>
      <c r="B17" s="179"/>
      <c r="C17" s="179"/>
      <c r="D17" s="179"/>
      <c r="E17" s="179"/>
      <c r="F17" s="179"/>
      <c r="G17" s="179">
        <v>109000</v>
      </c>
      <c r="H17" s="179">
        <v>46800</v>
      </c>
      <c r="I17" s="179"/>
      <c r="J17" s="179"/>
      <c r="K17" s="179"/>
      <c r="L17" s="179"/>
      <c r="M17" s="179"/>
      <c r="N17" s="179">
        <f t="shared" si="0"/>
        <v>155800</v>
      </c>
    </row>
    <row r="18" spans="1:14" x14ac:dyDescent="0.25">
      <c r="A18" s="177" t="s">
        <v>297</v>
      </c>
      <c r="B18" s="179"/>
      <c r="C18" s="179"/>
      <c r="D18" s="179"/>
      <c r="E18" s="179"/>
      <c r="F18" s="179"/>
      <c r="G18" s="179">
        <v>26419.759999999998</v>
      </c>
      <c r="H18" s="179"/>
      <c r="I18" s="179"/>
      <c r="J18" s="179"/>
      <c r="K18" s="179"/>
      <c r="L18" s="179"/>
      <c r="M18" s="179"/>
      <c r="N18" s="323">
        <f t="shared" si="0"/>
        <v>26419.759999999998</v>
      </c>
    </row>
    <row r="19" spans="1:14" x14ac:dyDescent="0.25">
      <c r="A19" s="174" t="s">
        <v>243</v>
      </c>
      <c r="B19" s="179"/>
      <c r="C19" s="179"/>
      <c r="D19" s="179"/>
      <c r="E19" s="179"/>
      <c r="F19" s="179"/>
      <c r="G19" s="179"/>
      <c r="H19" s="179">
        <v>83360</v>
      </c>
      <c r="I19" s="179"/>
      <c r="J19" s="179"/>
      <c r="K19" s="179"/>
      <c r="L19" s="179"/>
      <c r="M19" s="179"/>
      <c r="N19" s="179">
        <f t="shared" si="0"/>
        <v>83360</v>
      </c>
    </row>
    <row r="20" spans="1:14" hidden="1" x14ac:dyDescent="0.25">
      <c r="A20" s="174"/>
      <c r="B20" s="179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>
        <f t="shared" si="0"/>
        <v>0</v>
      </c>
    </row>
    <row r="21" spans="1:14" hidden="1" x14ac:dyDescent="0.25">
      <c r="A21" s="174"/>
      <c r="B21" s="179"/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179">
        <f t="shared" si="0"/>
        <v>0</v>
      </c>
    </row>
    <row r="22" spans="1:14" hidden="1" x14ac:dyDescent="0.25">
      <c r="A22" s="174"/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>
        <f t="shared" si="0"/>
        <v>0</v>
      </c>
    </row>
    <row r="23" spans="1:14" hidden="1" x14ac:dyDescent="0.25">
      <c r="A23" s="174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>
        <f t="shared" si="0"/>
        <v>0</v>
      </c>
    </row>
    <row r="24" spans="1:14" hidden="1" x14ac:dyDescent="0.25">
      <c r="A24" s="174"/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>
        <f t="shared" si="0"/>
        <v>0</v>
      </c>
    </row>
    <row r="25" spans="1:14" hidden="1" x14ac:dyDescent="0.25">
      <c r="A25" s="174"/>
      <c r="B25" s="179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>
        <f t="shared" si="0"/>
        <v>0</v>
      </c>
    </row>
    <row r="26" spans="1:14" hidden="1" x14ac:dyDescent="0.25">
      <c r="A26" s="174"/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>
        <f t="shared" si="0"/>
        <v>0</v>
      </c>
    </row>
    <row r="27" spans="1:14" hidden="1" x14ac:dyDescent="0.25">
      <c r="A27" s="174"/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>
        <f t="shared" si="0"/>
        <v>0</v>
      </c>
    </row>
    <row r="28" spans="1:14" hidden="1" x14ac:dyDescent="0.25">
      <c r="A28" s="174"/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>
        <f t="shared" si="0"/>
        <v>0</v>
      </c>
    </row>
    <row r="29" spans="1:14" hidden="1" x14ac:dyDescent="0.25">
      <c r="A29" s="174"/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>
        <f t="shared" si="0"/>
        <v>0</v>
      </c>
    </row>
    <row r="30" spans="1:14" hidden="1" x14ac:dyDescent="0.25">
      <c r="A30" s="174"/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>
        <f t="shared" si="0"/>
        <v>0</v>
      </c>
    </row>
    <row r="31" spans="1:14" hidden="1" x14ac:dyDescent="0.25">
      <c r="A31" s="174"/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>
        <f t="shared" si="0"/>
        <v>0</v>
      </c>
    </row>
    <row r="32" spans="1:14" hidden="1" x14ac:dyDescent="0.25">
      <c r="A32" s="174"/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>
        <f t="shared" si="0"/>
        <v>0</v>
      </c>
    </row>
    <row r="33" spans="1:14" hidden="1" x14ac:dyDescent="0.25">
      <c r="A33" s="174"/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>
        <f t="shared" si="0"/>
        <v>0</v>
      </c>
    </row>
    <row r="34" spans="1:14" hidden="1" x14ac:dyDescent="0.25">
      <c r="A34" s="174"/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>
        <f t="shared" si="0"/>
        <v>0</v>
      </c>
    </row>
    <row r="35" spans="1:14" hidden="1" x14ac:dyDescent="0.25">
      <c r="A35" s="174"/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>
        <f t="shared" si="0"/>
        <v>0</v>
      </c>
    </row>
    <row r="36" spans="1:14" hidden="1" x14ac:dyDescent="0.25">
      <c r="A36" s="174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>
        <f t="shared" si="0"/>
        <v>0</v>
      </c>
    </row>
    <row r="37" spans="1:14" hidden="1" x14ac:dyDescent="0.25">
      <c r="A37" s="174"/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>
        <f t="shared" si="0"/>
        <v>0</v>
      </c>
    </row>
    <row r="38" spans="1:14" hidden="1" x14ac:dyDescent="0.25">
      <c r="A38" s="174"/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>
        <f t="shared" si="0"/>
        <v>0</v>
      </c>
    </row>
    <row r="39" spans="1:14" hidden="1" x14ac:dyDescent="0.25">
      <c r="A39" s="174"/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>
        <f t="shared" si="0"/>
        <v>0</v>
      </c>
    </row>
    <row r="40" spans="1:14" hidden="1" x14ac:dyDescent="0.25">
      <c r="A40" s="174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>
        <f t="shared" si="0"/>
        <v>0</v>
      </c>
    </row>
    <row r="41" spans="1:14" hidden="1" x14ac:dyDescent="0.25">
      <c r="A41" s="174"/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>
        <f t="shared" si="0"/>
        <v>0</v>
      </c>
    </row>
    <row r="42" spans="1:14" hidden="1" x14ac:dyDescent="0.25">
      <c r="A42" s="152"/>
      <c r="B42" s="179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323">
        <f t="shared" si="0"/>
        <v>0</v>
      </c>
    </row>
    <row r="43" spans="1:14" hidden="1" x14ac:dyDescent="0.25">
      <c r="A43" s="152"/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>
        <f t="shared" si="0"/>
        <v>0</v>
      </c>
    </row>
    <row r="44" spans="1:14" hidden="1" x14ac:dyDescent="0.25">
      <c r="A44" s="326"/>
      <c r="B44" s="179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>
        <f t="shared" si="0"/>
        <v>0</v>
      </c>
    </row>
    <row r="45" spans="1:14" hidden="1" x14ac:dyDescent="0.25">
      <c r="A45" s="174"/>
      <c r="B45" s="179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79">
        <f t="shared" si="0"/>
        <v>0</v>
      </c>
    </row>
    <row r="46" spans="1:14" hidden="1" x14ac:dyDescent="0.25">
      <c r="A46" s="326"/>
      <c r="B46" s="179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>
        <f t="shared" si="0"/>
        <v>0</v>
      </c>
    </row>
    <row r="47" spans="1:14" hidden="1" x14ac:dyDescent="0.25">
      <c r="A47" s="152"/>
      <c r="B47" s="179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>
        <f t="shared" si="0"/>
        <v>0</v>
      </c>
    </row>
    <row r="48" spans="1:14" hidden="1" x14ac:dyDescent="0.25">
      <c r="A48" s="152"/>
      <c r="B48" s="179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79">
        <f t="shared" si="0"/>
        <v>0</v>
      </c>
    </row>
    <row r="49" spans="1:14" hidden="1" x14ac:dyDescent="0.25">
      <c r="A49" s="152"/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>
        <f t="shared" si="0"/>
        <v>0</v>
      </c>
    </row>
    <row r="50" spans="1:14" hidden="1" x14ac:dyDescent="0.25">
      <c r="A50" s="152"/>
      <c r="B50" s="179"/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79"/>
      <c r="N50" s="179">
        <f t="shared" si="0"/>
        <v>0</v>
      </c>
    </row>
    <row r="51" spans="1:14" hidden="1" x14ac:dyDescent="0.25">
      <c r="A51" s="152"/>
      <c r="B51" s="179"/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79">
        <f t="shared" si="0"/>
        <v>0</v>
      </c>
    </row>
    <row r="52" spans="1:14" hidden="1" x14ac:dyDescent="0.25">
      <c r="A52" s="152"/>
      <c r="B52" s="179"/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79">
        <f t="shared" si="0"/>
        <v>0</v>
      </c>
    </row>
    <row r="53" spans="1:14" x14ac:dyDescent="0.25">
      <c r="A53" s="324" t="s">
        <v>376</v>
      </c>
      <c r="B53" s="179"/>
      <c r="C53" s="179"/>
      <c r="D53" s="179"/>
      <c r="E53" s="179"/>
      <c r="F53" s="179"/>
      <c r="G53" s="179"/>
      <c r="H53" s="179"/>
      <c r="I53" s="179"/>
      <c r="J53" s="179">
        <v>105000</v>
      </c>
      <c r="K53" s="179"/>
      <c r="L53" s="179"/>
      <c r="M53" s="179"/>
      <c r="N53" s="179">
        <f t="shared" si="0"/>
        <v>105000</v>
      </c>
    </row>
    <row r="54" spans="1:14" x14ac:dyDescent="0.25">
      <c r="A54" s="375" t="s">
        <v>402</v>
      </c>
      <c r="B54" s="182"/>
      <c r="C54" s="182"/>
      <c r="D54" s="182"/>
      <c r="E54" s="182"/>
      <c r="F54" s="182"/>
      <c r="G54" s="182"/>
      <c r="H54" s="182"/>
      <c r="I54" s="182">
        <v>252072</v>
      </c>
      <c r="J54" s="182"/>
      <c r="K54" s="182">
        <v>168048</v>
      </c>
      <c r="L54" s="182"/>
      <c r="M54" s="182"/>
      <c r="N54" s="179">
        <f t="shared" si="0"/>
        <v>420120</v>
      </c>
    </row>
    <row r="55" spans="1:14" x14ac:dyDescent="0.25">
      <c r="A55" s="155" t="s">
        <v>91</v>
      </c>
      <c r="B55" s="166">
        <f>SUM(B3:B54)</f>
        <v>93333.9</v>
      </c>
      <c r="C55" s="166">
        <f>SUM(C3:C54)</f>
        <v>0</v>
      </c>
      <c r="D55" s="166">
        <f t="shared" ref="D55:M55" si="2">SUM(D3:D54)</f>
        <v>418156</v>
      </c>
      <c r="E55" s="166">
        <f t="shared" si="2"/>
        <v>99190</v>
      </c>
      <c r="F55" s="166">
        <f t="shared" si="2"/>
        <v>206419</v>
      </c>
      <c r="G55" s="166">
        <f t="shared" si="2"/>
        <v>155909.76000000001</v>
      </c>
      <c r="H55" s="166">
        <f t="shared" si="2"/>
        <v>281457.40000000002</v>
      </c>
      <c r="I55" s="166">
        <f t="shared" si="2"/>
        <v>332072</v>
      </c>
      <c r="J55" s="166">
        <f t="shared" si="2"/>
        <v>254190</v>
      </c>
      <c r="K55" s="166">
        <f t="shared" si="2"/>
        <v>237128</v>
      </c>
      <c r="L55" s="166">
        <f t="shared" si="2"/>
        <v>0</v>
      </c>
      <c r="M55" s="166">
        <f t="shared" si="2"/>
        <v>0</v>
      </c>
      <c r="N55" s="166">
        <f>SUM(N3:N54)</f>
        <v>2077856.06</v>
      </c>
    </row>
    <row r="57" spans="1:14" x14ac:dyDescent="0.25">
      <c r="N57" s="160">
        <f>SUM(B55:M55)-N55</f>
        <v>0</v>
      </c>
    </row>
  </sheetData>
  <phoneticPr fontId="22" type="noConversion"/>
  <pageMargins left="0.25" right="0.25" top="0.75" bottom="0.75" header="0.3" footer="0.3"/>
  <pageSetup paperSize="9" scale="82" firstPageNumber="42949672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V71"/>
  <sheetViews>
    <sheetView tabSelected="1" view="pageBreakPreview" zoomScale="90" zoomScaleNormal="100" zoomScaleSheetLayoutView="90" workbookViewId="0">
      <selection activeCell="Q67" sqref="Q67"/>
    </sheetView>
  </sheetViews>
  <sheetFormatPr defaultRowHeight="15" x14ac:dyDescent="0.25"/>
  <cols>
    <col min="1" max="1" width="38.5703125" style="291" customWidth="1"/>
    <col min="2" max="2" width="14.7109375" style="226" bestFit="1" customWidth="1"/>
    <col min="3" max="3" width="13.5703125" style="226" customWidth="1"/>
    <col min="4" max="4" width="13.7109375" style="221" bestFit="1" customWidth="1"/>
    <col min="5" max="6" width="14.140625" style="221" bestFit="1" customWidth="1"/>
    <col min="7" max="7" width="13.7109375" style="221" bestFit="1" customWidth="1"/>
    <col min="8" max="8" width="14.5703125" style="221" bestFit="1" customWidth="1"/>
    <col min="9" max="11" width="16.28515625" style="221" bestFit="1" customWidth="1"/>
    <col min="12" max="12" width="14.5703125" style="221" bestFit="1" customWidth="1"/>
    <col min="13" max="13" width="16.28515625" style="221" bestFit="1" customWidth="1"/>
    <col min="14" max="14" width="15.85546875" style="221" customWidth="1"/>
    <col min="15" max="15" width="14" style="221" customWidth="1"/>
    <col min="16" max="16" width="14.7109375" style="226" customWidth="1"/>
    <col min="17" max="17" width="15.28515625" style="226" customWidth="1"/>
    <col min="18" max="18" width="16" style="226" bestFit="1" customWidth="1"/>
    <col min="19" max="19" width="15.5703125" style="222" bestFit="1" customWidth="1"/>
    <col min="20" max="16384" width="9.140625" style="222"/>
  </cols>
  <sheetData>
    <row r="1" spans="1:19" ht="18" customHeight="1" x14ac:dyDescent="0.35">
      <c r="A1" s="306" t="s">
        <v>52</v>
      </c>
      <c r="B1" s="307" t="s">
        <v>124</v>
      </c>
      <c r="C1" s="221"/>
      <c r="P1" s="221"/>
      <c r="Q1" s="221"/>
      <c r="R1" s="221"/>
    </row>
    <row r="2" spans="1:19" ht="21" customHeight="1" x14ac:dyDescent="0.25">
      <c r="A2" s="223" t="s">
        <v>454</v>
      </c>
      <c r="B2" s="224"/>
      <c r="C2" s="225"/>
      <c r="D2" s="225"/>
      <c r="E2" s="225"/>
      <c r="F2" s="225"/>
      <c r="G2" s="225"/>
      <c r="H2" s="225"/>
      <c r="I2" s="367"/>
      <c r="J2" s="225"/>
      <c r="K2" s="225"/>
      <c r="L2" s="225"/>
      <c r="M2" s="225"/>
      <c r="N2" s="225"/>
      <c r="O2" s="225"/>
      <c r="P2" s="225"/>
      <c r="Q2" s="226">
        <v>12</v>
      </c>
      <c r="R2" s="226" t="s">
        <v>53</v>
      </c>
    </row>
    <row r="3" spans="1:19" ht="37.5" customHeight="1" x14ac:dyDescent="0.3">
      <c r="A3" s="227" t="s">
        <v>1</v>
      </c>
      <c r="B3" s="320" t="s">
        <v>2</v>
      </c>
      <c r="C3" s="320" t="s">
        <v>54</v>
      </c>
      <c r="D3" s="321" t="s">
        <v>9</v>
      </c>
      <c r="E3" s="321" t="s">
        <v>14</v>
      </c>
      <c r="F3" s="321" t="s">
        <v>15</v>
      </c>
      <c r="G3" s="321" t="s">
        <v>16</v>
      </c>
      <c r="H3" s="321" t="s">
        <v>17</v>
      </c>
      <c r="I3" s="321" t="s">
        <v>18</v>
      </c>
      <c r="J3" s="321" t="s">
        <v>19</v>
      </c>
      <c r="K3" s="321" t="s">
        <v>4</v>
      </c>
      <c r="L3" s="321" t="s">
        <v>5</v>
      </c>
      <c r="M3" s="321" t="s">
        <v>6</v>
      </c>
      <c r="N3" s="321" t="s">
        <v>7</v>
      </c>
      <c r="O3" s="321" t="s">
        <v>8</v>
      </c>
      <c r="P3" s="320" t="str">
        <f>CONCATENATE("Итого за ",Q2," мес.")</f>
        <v>Итого за 12 мес.</v>
      </c>
      <c r="Q3" s="320" t="str">
        <f>CONCATENATE("Бюджет          за ",Q2," мес.")</f>
        <v>Бюджет          за 12 мес.</v>
      </c>
      <c r="R3" s="322" t="s">
        <v>12</v>
      </c>
    </row>
    <row r="4" spans="1:19" ht="15" customHeight="1" x14ac:dyDescent="0.25">
      <c r="A4" s="229" t="s">
        <v>55</v>
      </c>
      <c r="B4" s="260">
        <v>2568215</v>
      </c>
      <c r="C4" s="231"/>
      <c r="D4" s="232">
        <f t="shared" ref="D4:O4" si="0">D5*100/$C$5</f>
        <v>74.195666945988847</v>
      </c>
      <c r="E4" s="232">
        <f t="shared" si="0"/>
        <v>94.865419563790326</v>
      </c>
      <c r="F4" s="232">
        <f t="shared" si="0"/>
        <v>117.54166770061252</v>
      </c>
      <c r="G4" s="232">
        <f t="shared" si="0"/>
        <v>102.04947378335748</v>
      </c>
      <c r="H4" s="232">
        <f t="shared" si="0"/>
        <v>107.21482471380359</v>
      </c>
      <c r="I4" s="232">
        <f t="shared" si="0"/>
        <v>107.6153153852139</v>
      </c>
      <c r="J4" s="232">
        <f t="shared" si="0"/>
        <v>93.126698348759874</v>
      </c>
      <c r="K4" s="232">
        <f t="shared" si="0"/>
        <v>106.56387327147957</v>
      </c>
      <c r="L4" s="232">
        <f t="shared" si="0"/>
        <v>97.035634994571637</v>
      </c>
      <c r="M4" s="232">
        <f t="shared" si="0"/>
        <v>108.29119424564583</v>
      </c>
      <c r="N4" s="232">
        <f t="shared" si="0"/>
        <v>85.19467973707043</v>
      </c>
      <c r="O4" s="232">
        <f t="shared" si="0"/>
        <v>105.31610087784493</v>
      </c>
      <c r="P4" s="231"/>
      <c r="Q4" s="233"/>
      <c r="R4" s="233"/>
    </row>
    <row r="5" spans="1:19" ht="15.75" x14ac:dyDescent="0.25">
      <c r="A5" s="229" t="s">
        <v>56</v>
      </c>
      <c r="B5" s="230">
        <v>45174835</v>
      </c>
      <c r="C5" s="234">
        <f>B5/12</f>
        <v>3764569.5833333335</v>
      </c>
      <c r="D5" s="236">
        <f>2798553.51-5406</f>
        <v>2793147.51</v>
      </c>
      <c r="E5" s="236">
        <f>3586180.73-14906</f>
        <v>3571274.73</v>
      </c>
      <c r="F5" s="235">
        <f>4460063.87-35126</f>
        <v>4424937.87</v>
      </c>
      <c r="G5" s="237">
        <f>3876379.45-10536-24120</f>
        <v>3841723.45</v>
      </c>
      <c r="H5" s="237">
        <f>4068542.68-32366</f>
        <v>4036176.68</v>
      </c>
      <c r="I5" s="235">
        <f>4104559.43-53306</f>
        <v>4051253.43</v>
      </c>
      <c r="J5" s="235">
        <f>3521415.36-15596</f>
        <v>3505819.36</v>
      </c>
      <c r="K5" s="235">
        <f>4051217.16-39546</f>
        <v>4011671.16</v>
      </c>
      <c r="L5" s="235">
        <f>3704060-51086</f>
        <v>3652974</v>
      </c>
      <c r="M5" s="235">
        <f>4135443.36-58746</f>
        <v>4076697.36</v>
      </c>
      <c r="N5" s="235">
        <f>3201259+15000-9046</f>
        <v>3207213</v>
      </c>
      <c r="O5" s="237">
        <f>3999233.9-34536</f>
        <v>3964697.9</v>
      </c>
      <c r="P5" s="238">
        <f>SUM(D5:O5)</f>
        <v>45137586.449999996</v>
      </c>
      <c r="Q5" s="239">
        <f>C5*Q2</f>
        <v>45174835</v>
      </c>
      <c r="R5" s="240">
        <f>P5-Q5</f>
        <v>-37248.55000000447</v>
      </c>
    </row>
    <row r="6" spans="1:19" ht="15.75" x14ac:dyDescent="0.25">
      <c r="A6" s="229" t="s">
        <v>135</v>
      </c>
      <c r="B6" s="241"/>
      <c r="C6" s="242"/>
      <c r="D6" s="236"/>
      <c r="E6" s="236"/>
      <c r="F6" s="235"/>
      <c r="G6" s="237"/>
      <c r="H6" s="235"/>
      <c r="I6" s="235"/>
      <c r="J6" s="235"/>
      <c r="K6" s="235"/>
      <c r="L6" s="235">
        <v>200000</v>
      </c>
      <c r="M6" s="235"/>
      <c r="N6" s="235">
        <v>100000</v>
      </c>
      <c r="O6" s="237">
        <v>100000</v>
      </c>
      <c r="P6" s="238">
        <f>SUM(D6:O6)</f>
        <v>400000</v>
      </c>
      <c r="Q6" s="243"/>
      <c r="R6" s="240">
        <f t="shared" ref="R6:R8" si="1">P6-Q6</f>
        <v>400000</v>
      </c>
    </row>
    <row r="7" spans="1:19" ht="15.75" x14ac:dyDescent="0.25">
      <c r="A7" s="229" t="s">
        <v>179</v>
      </c>
      <c r="B7" s="317">
        <v>1100000</v>
      </c>
      <c r="C7" s="318">
        <f>B7/12</f>
        <v>91666.666666666672</v>
      </c>
      <c r="D7" s="236">
        <f>97119</f>
        <v>97119</v>
      </c>
      <c r="E7" s="235">
        <v>97774</v>
      </c>
      <c r="F7" s="235">
        <v>41500</v>
      </c>
      <c r="G7" s="235">
        <v>44900</v>
      </c>
      <c r="H7" s="235">
        <v>82558</v>
      </c>
      <c r="I7" s="235">
        <v>116200</v>
      </c>
      <c r="J7" s="235">
        <v>86533</v>
      </c>
      <c r="K7" s="235">
        <v>137300</v>
      </c>
      <c r="L7" s="235">
        <v>126792</v>
      </c>
      <c r="M7" s="235">
        <v>141800</v>
      </c>
      <c r="N7" s="235">
        <f>156500-800</f>
        <v>155700</v>
      </c>
      <c r="O7" s="237">
        <v>122200</v>
      </c>
      <c r="P7" s="238">
        <f t="shared" ref="P7:P12" si="2">SUM(D7:O7)</f>
        <v>1250376</v>
      </c>
      <c r="Q7" s="319">
        <f>C7*Q2</f>
        <v>1100000</v>
      </c>
      <c r="R7" s="240">
        <f t="shared" si="1"/>
        <v>150376</v>
      </c>
    </row>
    <row r="8" spans="1:19" ht="31.5" x14ac:dyDescent="0.25">
      <c r="A8" s="244" t="s">
        <v>207</v>
      </c>
      <c r="B8" s="245">
        <v>1060000</v>
      </c>
      <c r="C8" s="246">
        <f>B8/12</f>
        <v>88333.333333333328</v>
      </c>
      <c r="D8" s="247">
        <f>20000+20000+5406</f>
        <v>45406</v>
      </c>
      <c r="E8" s="247">
        <f>20000+20000+14906</f>
        <v>54906</v>
      </c>
      <c r="F8" s="247">
        <f>40000+20000+35126</f>
        <v>95126</v>
      </c>
      <c r="G8" s="247">
        <f>10536+24120+4000+20000</f>
        <v>58656</v>
      </c>
      <c r="H8" s="247">
        <f>20000+20000+140000+32366</f>
        <v>212366</v>
      </c>
      <c r="I8" s="247">
        <f>20000+20000+20000+53306</f>
        <v>113306</v>
      </c>
      <c r="J8" s="247">
        <f>15596+40000+40000+20000+79100</f>
        <v>194696</v>
      </c>
      <c r="K8" s="247">
        <f>39546+20000+40000+20000</f>
        <v>119546</v>
      </c>
      <c r="L8" s="247">
        <f>20000+40000+20000+51086</f>
        <v>131086</v>
      </c>
      <c r="M8" s="247">
        <f>80000+58746</f>
        <v>138746</v>
      </c>
      <c r="N8" s="247">
        <f>9046+80000</f>
        <v>89046</v>
      </c>
      <c r="O8" s="248">
        <f>20000+40000+20000+34536</f>
        <v>114536</v>
      </c>
      <c r="P8" s="249">
        <f t="shared" si="2"/>
        <v>1367422</v>
      </c>
      <c r="Q8" s="250">
        <f>C8*Q2</f>
        <v>1060000</v>
      </c>
      <c r="R8" s="373">
        <f t="shared" si="1"/>
        <v>307422</v>
      </c>
    </row>
    <row r="9" spans="1:19" ht="15.75" x14ac:dyDescent="0.25">
      <c r="A9" s="244" t="s">
        <v>331</v>
      </c>
      <c r="B9" s="245"/>
      <c r="C9" s="246"/>
      <c r="D9" s="247"/>
      <c r="E9" s="247"/>
      <c r="F9" s="247"/>
      <c r="G9" s="247"/>
      <c r="H9" s="247"/>
      <c r="I9" s="247"/>
      <c r="J9" s="247">
        <v>26400</v>
      </c>
      <c r="K9" s="247">
        <v>36800</v>
      </c>
      <c r="L9" s="247">
        <v>5600</v>
      </c>
      <c r="M9" s="247">
        <v>13400</v>
      </c>
      <c r="N9" s="247">
        <v>14000</v>
      </c>
      <c r="O9" s="248">
        <v>45000</v>
      </c>
      <c r="P9" s="238">
        <f t="shared" si="2"/>
        <v>141200</v>
      </c>
      <c r="Q9" s="250"/>
      <c r="R9" s="220"/>
    </row>
    <row r="10" spans="1:19" ht="15.75" x14ac:dyDescent="0.25">
      <c r="A10" s="251" t="s">
        <v>115</v>
      </c>
      <c r="B10" s="252"/>
      <c r="C10" s="252"/>
      <c r="D10" s="253">
        <f>3591+4760+21370.2</f>
        <v>29721.200000000001</v>
      </c>
      <c r="E10" s="253">
        <f>4306.5+2380+9974.47</f>
        <v>16660.97</v>
      </c>
      <c r="F10" s="253">
        <f>3510+2380</f>
        <v>5890</v>
      </c>
      <c r="G10" s="253">
        <f>22437.09+3649.5</f>
        <v>26086.59</v>
      </c>
      <c r="H10" s="253">
        <f>3919.5+4760</f>
        <v>8679.5</v>
      </c>
      <c r="I10" s="253">
        <f>3559.5+2380+5955.79</f>
        <v>11895.29</v>
      </c>
      <c r="J10" s="253">
        <f>7830+2380+11125.68</f>
        <v>21335.68</v>
      </c>
      <c r="K10" s="253">
        <f>3645+9679.12</f>
        <v>13324.12</v>
      </c>
      <c r="L10" s="253">
        <f>7294.95+4760+7539.47</f>
        <v>19594.420000000002</v>
      </c>
      <c r="M10" s="253">
        <v>19028.689999999999</v>
      </c>
      <c r="N10" s="253">
        <f>6998.68</f>
        <v>6998.68</v>
      </c>
      <c r="O10" s="253">
        <f>7328.49+2795+9249.04</f>
        <v>19372.53</v>
      </c>
      <c r="P10" s="238">
        <f t="shared" si="2"/>
        <v>198587.66999999998</v>
      </c>
      <c r="Q10" s="253"/>
      <c r="R10" s="222"/>
    </row>
    <row r="11" spans="1:19" ht="15.75" x14ac:dyDescent="0.25">
      <c r="A11" s="251" t="s">
        <v>148</v>
      </c>
      <c r="B11" s="252"/>
      <c r="C11" s="252"/>
      <c r="D11" s="253">
        <f>634900+6000</f>
        <v>640900</v>
      </c>
      <c r="E11" s="253"/>
      <c r="F11" s="253"/>
      <c r="G11" s="253"/>
      <c r="H11" s="253"/>
      <c r="I11" s="253">
        <v>24000</v>
      </c>
      <c r="J11" s="253"/>
      <c r="K11" s="253"/>
      <c r="L11" s="253"/>
      <c r="M11" s="253">
        <v>10160</v>
      </c>
      <c r="N11" s="253">
        <f>800+11000</f>
        <v>11800</v>
      </c>
      <c r="O11" s="253"/>
      <c r="P11" s="238">
        <f t="shared" si="2"/>
        <v>686860</v>
      </c>
      <c r="Q11" s="253"/>
      <c r="R11" s="222"/>
    </row>
    <row r="12" spans="1:19" ht="15.75" x14ac:dyDescent="0.25">
      <c r="A12" s="251" t="s">
        <v>147</v>
      </c>
      <c r="B12" s="252"/>
      <c r="C12" s="252"/>
      <c r="D12" s="253">
        <v>14997</v>
      </c>
      <c r="E12" s="253"/>
      <c r="F12" s="253">
        <v>1026</v>
      </c>
      <c r="G12" s="253"/>
      <c r="H12" s="253"/>
      <c r="I12" s="253">
        <v>1730</v>
      </c>
      <c r="J12" s="253"/>
      <c r="K12" s="253"/>
      <c r="L12" s="253">
        <v>3276.61</v>
      </c>
      <c r="M12" s="253"/>
      <c r="N12" s="253">
        <v>6935.29</v>
      </c>
      <c r="O12" s="253">
        <v>3690</v>
      </c>
      <c r="P12" s="238">
        <f t="shared" si="2"/>
        <v>31654.9</v>
      </c>
      <c r="Q12" s="253"/>
      <c r="R12" s="222"/>
    </row>
    <row r="13" spans="1:19" ht="16.5" thickBot="1" x14ac:dyDescent="0.3">
      <c r="A13" s="254" t="s">
        <v>178</v>
      </c>
      <c r="B13" s="255"/>
      <c r="C13" s="255"/>
      <c r="D13" s="256">
        <f>D52-D53</f>
        <v>-18500</v>
      </c>
      <c r="E13" s="256">
        <f>E52-E53</f>
        <v>20300</v>
      </c>
      <c r="F13" s="256">
        <f>F52-F53</f>
        <v>-4000</v>
      </c>
      <c r="G13" s="256">
        <f t="shared" ref="G13:H13" si="3">G52-G53</f>
        <v>300</v>
      </c>
      <c r="H13" s="256">
        <f t="shared" si="3"/>
        <v>14200</v>
      </c>
      <c r="I13" s="256">
        <f>I52-I53</f>
        <v>-52700</v>
      </c>
      <c r="J13" s="256">
        <f t="shared" ref="J13:O13" si="4">J52-J53</f>
        <v>13200</v>
      </c>
      <c r="K13" s="256">
        <f t="shared" si="4"/>
        <v>-121300</v>
      </c>
      <c r="L13" s="256">
        <f t="shared" si="4"/>
        <v>143500</v>
      </c>
      <c r="M13" s="256">
        <f t="shared" si="4"/>
        <v>-10500</v>
      </c>
      <c r="N13" s="256">
        <f t="shared" si="4"/>
        <v>18100</v>
      </c>
      <c r="O13" s="256">
        <f t="shared" si="4"/>
        <v>9900</v>
      </c>
      <c r="P13" s="257"/>
      <c r="Q13" s="258"/>
      <c r="R13" s="222"/>
    </row>
    <row r="14" spans="1:19" ht="15.75" x14ac:dyDescent="0.25">
      <c r="A14" s="259" t="s">
        <v>57</v>
      </c>
      <c r="B14" s="260">
        <f>SUM(B5:B12)</f>
        <v>47334835</v>
      </c>
      <c r="C14" s="261">
        <f>SUM(C5:C12)</f>
        <v>3944569.5833333335</v>
      </c>
      <c r="D14" s="262">
        <f t="shared" ref="D14:H14" si="5">SUM(D5:D13)</f>
        <v>3602790.71</v>
      </c>
      <c r="E14" s="262">
        <f t="shared" si="5"/>
        <v>3760915.7</v>
      </c>
      <c r="F14" s="262">
        <f t="shared" si="5"/>
        <v>4564479.87</v>
      </c>
      <c r="G14" s="262">
        <f t="shared" si="5"/>
        <v>3971666.04</v>
      </c>
      <c r="H14" s="262">
        <f t="shared" si="5"/>
        <v>4353980.18</v>
      </c>
      <c r="I14" s="262">
        <f>SUM(I5:I13)</f>
        <v>4265684.72</v>
      </c>
      <c r="J14" s="262">
        <f t="shared" ref="J14:O14" si="6">SUM(J5:J13)</f>
        <v>3847984.04</v>
      </c>
      <c r="K14" s="262">
        <f t="shared" si="6"/>
        <v>4197341.28</v>
      </c>
      <c r="L14" s="262">
        <f t="shared" si="6"/>
        <v>4282823.0299999993</v>
      </c>
      <c r="M14" s="262">
        <f t="shared" si="6"/>
        <v>4389332.05</v>
      </c>
      <c r="N14" s="262">
        <f t="shared" si="6"/>
        <v>3609792.97</v>
      </c>
      <c r="O14" s="262">
        <f t="shared" si="6"/>
        <v>4379396.4300000006</v>
      </c>
      <c r="P14" s="263">
        <f>SUM(D14:O14)</f>
        <v>49226187.019999996</v>
      </c>
      <c r="Q14" s="264">
        <f>SUM(Q5:Q12)</f>
        <v>47334835</v>
      </c>
      <c r="R14" s="265">
        <f>P14-Q14</f>
        <v>1891352.0199999958</v>
      </c>
      <c r="S14" s="266"/>
    </row>
    <row r="15" spans="1:19" ht="15.75" x14ac:dyDescent="0.25">
      <c r="A15" s="259" t="s">
        <v>58</v>
      </c>
      <c r="B15" s="230">
        <f>B14+B4</f>
        <v>49903050</v>
      </c>
      <c r="C15" s="267"/>
      <c r="D15" s="214">
        <f t="shared" ref="D15" si="7">D58</f>
        <v>3602790.71</v>
      </c>
      <c r="E15" s="214">
        <f t="shared" ref="E15:I15" si="8">E58</f>
        <v>3760915.7</v>
      </c>
      <c r="F15" s="214">
        <v>4592479.87</v>
      </c>
      <c r="G15" s="214">
        <f>G58</f>
        <v>3971666.04</v>
      </c>
      <c r="H15" s="214">
        <f t="shared" si="8"/>
        <v>4587808.18</v>
      </c>
      <c r="I15" s="214">
        <f t="shared" si="8"/>
        <v>4239524.72</v>
      </c>
      <c r="J15" s="214">
        <f t="shared" ref="J15:O15" si="9">J58</f>
        <v>4031284.04</v>
      </c>
      <c r="K15" s="214">
        <f t="shared" si="9"/>
        <v>5497341.2800000003</v>
      </c>
      <c r="L15" s="214">
        <f>L58</f>
        <v>4282823.03</v>
      </c>
      <c r="M15" s="214">
        <f t="shared" si="9"/>
        <v>4389332.05</v>
      </c>
      <c r="N15" s="214">
        <f t="shared" si="9"/>
        <v>3609792.97</v>
      </c>
      <c r="O15" s="214">
        <f t="shared" si="9"/>
        <v>4379396.43</v>
      </c>
      <c r="P15" s="267"/>
      <c r="Q15" s="267"/>
      <c r="R15" s="267"/>
      <c r="S15" s="266"/>
    </row>
    <row r="16" spans="1:19" ht="33" customHeight="1" x14ac:dyDescent="0.3">
      <c r="A16" s="268" t="s">
        <v>26</v>
      </c>
      <c r="B16" s="269"/>
      <c r="C16" s="270"/>
      <c r="D16" s="313">
        <f>D14-D15</f>
        <v>0</v>
      </c>
      <c r="E16" s="313">
        <f t="shared" ref="E16" si="10">E14-E15</f>
        <v>0</v>
      </c>
      <c r="F16" s="313">
        <f>F14-F15+'спец авто транспорт'!D14</f>
        <v>0</v>
      </c>
      <c r="G16" s="313">
        <f>G14-G15</f>
        <v>0</v>
      </c>
      <c r="H16" s="313">
        <f>H14-H15-канализация!F28</f>
        <v>0</v>
      </c>
      <c r="I16" s="364">
        <f>I14-I15-26160</f>
        <v>0</v>
      </c>
      <c r="J16" s="313">
        <f>J14-J15+183300</f>
        <v>0</v>
      </c>
      <c r="K16" s="313">
        <f>K14-K15+1300000</f>
        <v>0</v>
      </c>
      <c r="L16" s="313">
        <f>L14-L15</f>
        <v>0</v>
      </c>
      <c r="M16" s="313">
        <f t="shared" ref="M16:O16" si="11">M14-M15</f>
        <v>0</v>
      </c>
      <c r="N16" s="313">
        <f>N14-N15</f>
        <v>0</v>
      </c>
      <c r="O16" s="313">
        <f>O14-O15</f>
        <v>0</v>
      </c>
      <c r="P16" s="270"/>
      <c r="Q16" s="271"/>
      <c r="R16" s="272" t="s">
        <v>27</v>
      </c>
    </row>
    <row r="17" spans="1:22" ht="15.75" x14ac:dyDescent="0.25">
      <c r="A17" s="273" t="s">
        <v>28</v>
      </c>
      <c r="B17" s="230">
        <v>950000</v>
      </c>
      <c r="C17" s="234">
        <f t="shared" ref="C17:C34" si="12">B17/12</f>
        <v>79166.666666666672</v>
      </c>
      <c r="D17" s="331">
        <f>'общехоз расходы'!B102</f>
        <v>69467.81</v>
      </c>
      <c r="E17" s="331">
        <f>'общехоз расходы'!C102</f>
        <v>49239.99</v>
      </c>
      <c r="F17" s="331">
        <f>'общехоз расходы'!D102</f>
        <v>42463.18</v>
      </c>
      <c r="G17" s="331">
        <f>'общехоз расходы'!E102</f>
        <v>96313.07</v>
      </c>
      <c r="H17" s="331">
        <f>'общехоз расходы'!F102</f>
        <v>69116.63</v>
      </c>
      <c r="I17" s="331">
        <f>'общехоз расходы'!G102</f>
        <v>89916.73</v>
      </c>
      <c r="J17" s="331">
        <f>'общехоз расходы'!H102</f>
        <v>105228.67</v>
      </c>
      <c r="K17" s="331">
        <f>'общехоз расходы'!I102</f>
        <v>45820.710000000006</v>
      </c>
      <c r="L17" s="331">
        <f>'общехоз расходы'!J102</f>
        <v>138527.58000000002</v>
      </c>
      <c r="M17" s="331">
        <f>'общехоз расходы'!K102</f>
        <v>131649.80000000002</v>
      </c>
      <c r="N17" s="331">
        <f>'общехоз расходы'!L102</f>
        <v>64902.180000000008</v>
      </c>
      <c r="O17" s="331">
        <f>'общехоз расходы'!M102</f>
        <v>94639.18</v>
      </c>
      <c r="P17" s="257">
        <f t="shared" ref="P17:P34" si="13">SUM(D17:O17)</f>
        <v>997285.53</v>
      </c>
      <c r="Q17" s="239">
        <f t="shared" ref="Q17:Q29" si="14">C17*$Q$2</f>
        <v>950000</v>
      </c>
      <c r="R17" s="275">
        <f t="shared" ref="R17:R28" si="15">Q17-P17</f>
        <v>-47285.530000000028</v>
      </c>
    </row>
    <row r="18" spans="1:22" ht="15.75" x14ac:dyDescent="0.25">
      <c r="A18" s="228" t="s">
        <v>29</v>
      </c>
      <c r="B18" s="260">
        <v>80000</v>
      </c>
      <c r="C18" s="234">
        <f t="shared" si="12"/>
        <v>6666.666666666667</v>
      </c>
      <c r="D18" s="332">
        <f>'прогр обесп'!B10</f>
        <v>0</v>
      </c>
      <c r="E18" s="332">
        <f>'прогр обесп'!C10</f>
        <v>3790</v>
      </c>
      <c r="F18" s="332">
        <f>'прогр обесп'!D10</f>
        <v>3000</v>
      </c>
      <c r="G18" s="332">
        <f>'прогр обесп'!E10</f>
        <v>5000</v>
      </c>
      <c r="H18" s="332">
        <f>'прогр обесп'!F10</f>
        <v>3750</v>
      </c>
      <c r="I18" s="332">
        <f>'прогр обесп'!G10</f>
        <v>3590</v>
      </c>
      <c r="J18" s="332">
        <f>'прогр обесп'!H10</f>
        <v>0</v>
      </c>
      <c r="K18" s="332">
        <f>'прогр обесп'!I10</f>
        <v>9203.4500000000007</v>
      </c>
      <c r="L18" s="332">
        <f>'прогр обесп'!J10</f>
        <v>0</v>
      </c>
      <c r="M18" s="332">
        <f>'прогр обесп'!K10</f>
        <v>15000</v>
      </c>
      <c r="N18" s="332">
        <f>'прогр обесп'!L10</f>
        <v>53900</v>
      </c>
      <c r="O18" s="332">
        <f>'прогр обесп'!M10</f>
        <v>0</v>
      </c>
      <c r="P18" s="238">
        <f>SUM(D18:O18)</f>
        <v>97233.45</v>
      </c>
      <c r="Q18" s="239">
        <f t="shared" si="14"/>
        <v>80000</v>
      </c>
      <c r="R18" s="275">
        <f t="shared" si="15"/>
        <v>-17233.449999999997</v>
      </c>
    </row>
    <row r="19" spans="1:22" ht="15.75" x14ac:dyDescent="0.25">
      <c r="A19" s="273" t="s">
        <v>30</v>
      </c>
      <c r="B19" s="230">
        <v>140000</v>
      </c>
      <c r="C19" s="234">
        <f t="shared" si="12"/>
        <v>11666.666666666666</v>
      </c>
      <c r="D19" s="331">
        <f>связь!B9</f>
        <v>7200</v>
      </c>
      <c r="E19" s="331">
        <f>связь!C9</f>
        <v>13200</v>
      </c>
      <c r="F19" s="331">
        <f>связь!D9</f>
        <v>7200</v>
      </c>
      <c r="G19" s="331">
        <f>связь!E9</f>
        <v>7200</v>
      </c>
      <c r="H19" s="331">
        <f>связь!F9</f>
        <v>11700</v>
      </c>
      <c r="I19" s="331">
        <f>связь!G9</f>
        <v>16400</v>
      </c>
      <c r="J19" s="331">
        <f>связь!H9</f>
        <v>8200</v>
      </c>
      <c r="K19" s="331">
        <f>связь!I9</f>
        <v>8200</v>
      </c>
      <c r="L19" s="331">
        <f>связь!J9</f>
        <v>8200</v>
      </c>
      <c r="M19" s="331">
        <f>связь!K9</f>
        <v>7200</v>
      </c>
      <c r="N19" s="331">
        <f>связь!L9</f>
        <v>6438.6</v>
      </c>
      <c r="O19" s="331">
        <f>связь!M9</f>
        <v>1800</v>
      </c>
      <c r="P19" s="238">
        <f t="shared" si="13"/>
        <v>102938.6</v>
      </c>
      <c r="Q19" s="239">
        <f t="shared" si="14"/>
        <v>140000</v>
      </c>
      <c r="R19" s="275">
        <f t="shared" si="15"/>
        <v>37061.399999999994</v>
      </c>
    </row>
    <row r="20" spans="1:22" ht="15.75" x14ac:dyDescent="0.25">
      <c r="A20" s="228" t="s">
        <v>59</v>
      </c>
      <c r="B20" s="260">
        <v>11101200</v>
      </c>
      <c r="C20" s="234">
        <f t="shared" si="12"/>
        <v>925100</v>
      </c>
      <c r="D20" s="332">
        <f>'з пл'!B6</f>
        <v>653095.5</v>
      </c>
      <c r="E20" s="332">
        <f>'з пл'!C6</f>
        <v>1383907.9000000001</v>
      </c>
      <c r="F20" s="332">
        <f>'з пл'!D6</f>
        <v>425913.93</v>
      </c>
      <c r="G20" s="332">
        <f>'з пл'!E6</f>
        <v>799068.54999999993</v>
      </c>
      <c r="H20" s="332">
        <f>'з пл'!F6</f>
        <v>833380.42999999993</v>
      </c>
      <c r="I20" s="332">
        <f>'з пл'!G6</f>
        <v>1012977.23</v>
      </c>
      <c r="J20" s="332">
        <f>'з пл'!H6</f>
        <v>847323.06</v>
      </c>
      <c r="K20" s="332">
        <f>'з пл'!I6</f>
        <v>1019584.84</v>
      </c>
      <c r="L20" s="332">
        <f>'з пл'!J6</f>
        <v>781619.67</v>
      </c>
      <c r="M20" s="332">
        <f>'з пл'!K6</f>
        <v>777999.49</v>
      </c>
      <c r="N20" s="332">
        <f>'з пл'!L6</f>
        <v>774580.2</v>
      </c>
      <c r="O20" s="332">
        <f>'з пл'!M6</f>
        <v>938702.85000000009</v>
      </c>
      <c r="P20" s="238">
        <f t="shared" si="13"/>
        <v>10248153.649999999</v>
      </c>
      <c r="Q20" s="239">
        <f t="shared" si="14"/>
        <v>11101200</v>
      </c>
      <c r="R20" s="275">
        <f t="shared" si="15"/>
        <v>853046.35000000149</v>
      </c>
    </row>
    <row r="21" spans="1:22" ht="15.75" x14ac:dyDescent="0.25">
      <c r="A21" s="228" t="s">
        <v>34</v>
      </c>
      <c r="B21" s="260">
        <v>3473400</v>
      </c>
      <c r="C21" s="234">
        <f t="shared" si="12"/>
        <v>289450</v>
      </c>
      <c r="D21" s="333">
        <f>'налог с ФОТ'!B6</f>
        <v>187389.58</v>
      </c>
      <c r="E21" s="333">
        <f>'налог с ФОТ'!C6</f>
        <v>370898.25</v>
      </c>
      <c r="F21" s="333">
        <f>'налог с ФОТ'!D6</f>
        <v>0.05</v>
      </c>
      <c r="G21" s="333">
        <f>'налог с ФОТ'!E6</f>
        <v>222487.03</v>
      </c>
      <c r="H21" s="333">
        <f>'налог с ФОТ'!F6</f>
        <v>244444.64</v>
      </c>
      <c r="I21" s="333">
        <f>'налог с ФОТ'!G6</f>
        <v>231560.44999999998</v>
      </c>
      <c r="J21" s="333">
        <f>'налог с ФОТ'!H6</f>
        <v>239951.28</v>
      </c>
      <c r="K21" s="333">
        <f>'налог с ФОТ'!I6</f>
        <v>252821.43</v>
      </c>
      <c r="L21" s="333">
        <f>'налог с ФОТ'!J6</f>
        <v>243218.59</v>
      </c>
      <c r="M21" s="333">
        <f>'налог с ФОТ'!K6</f>
        <v>218188.22</v>
      </c>
      <c r="N21" s="333">
        <f>'налог с ФОТ'!L6</f>
        <v>214427.9</v>
      </c>
      <c r="O21" s="333">
        <f>'налог с ФОТ'!M6</f>
        <v>228344.05</v>
      </c>
      <c r="P21" s="238">
        <f t="shared" si="13"/>
        <v>2653731.4699999997</v>
      </c>
      <c r="Q21" s="239">
        <f t="shared" si="14"/>
        <v>3473400</v>
      </c>
      <c r="R21" s="275">
        <f t="shared" si="15"/>
        <v>819668.53000000026</v>
      </c>
    </row>
    <row r="22" spans="1:22" ht="15.75" x14ac:dyDescent="0.25">
      <c r="A22" s="273" t="s">
        <v>36</v>
      </c>
      <c r="B22" s="230">
        <v>6200000</v>
      </c>
      <c r="C22" s="234">
        <f t="shared" si="12"/>
        <v>516666.66666666669</v>
      </c>
      <c r="D22" s="331">
        <f>мусор!B10</f>
        <v>525017.63</v>
      </c>
      <c r="E22" s="331">
        <f>мусор!C10</f>
        <v>336017.63</v>
      </c>
      <c r="F22" s="331">
        <f>мусор!D10</f>
        <v>190017.63</v>
      </c>
      <c r="G22" s="331">
        <f>мусор!E10</f>
        <v>238017.63</v>
      </c>
      <c r="H22" s="331">
        <f>мусор!F10</f>
        <v>155210.06</v>
      </c>
      <c r="I22" s="331">
        <f>мусор!G10</f>
        <v>252900</v>
      </c>
      <c r="J22" s="331">
        <f>мусор!H10</f>
        <v>440800</v>
      </c>
      <c r="K22" s="331">
        <f>мусор!I10</f>
        <v>514370.19</v>
      </c>
      <c r="L22" s="331">
        <f>мусор!J10</f>
        <v>400200</v>
      </c>
      <c r="M22" s="331">
        <f>мусор!K10</f>
        <v>436608.62</v>
      </c>
      <c r="N22" s="331">
        <f>мусор!L10</f>
        <v>453194.34</v>
      </c>
      <c r="O22" s="331">
        <f>мусор!M10</f>
        <v>469800</v>
      </c>
      <c r="P22" s="238">
        <f t="shared" si="13"/>
        <v>4412153.7300000004</v>
      </c>
      <c r="Q22" s="239">
        <f>C22*$Q$2</f>
        <v>6200000</v>
      </c>
      <c r="R22" s="275">
        <f>Q22-P22</f>
        <v>1787846.2699999996</v>
      </c>
    </row>
    <row r="23" spans="1:22" ht="15.75" x14ac:dyDescent="0.25">
      <c r="A23" s="273" t="s">
        <v>37</v>
      </c>
      <c r="B23" s="230">
        <v>7804800</v>
      </c>
      <c r="C23" s="234">
        <f t="shared" si="12"/>
        <v>650400</v>
      </c>
      <c r="D23" s="274">
        <v>650400</v>
      </c>
      <c r="E23" s="274">
        <v>650400</v>
      </c>
      <c r="F23" s="274">
        <v>650400</v>
      </c>
      <c r="G23" s="274">
        <v>650400</v>
      </c>
      <c r="H23" s="274">
        <v>650400</v>
      </c>
      <c r="I23" s="274">
        <f>650400+650400</f>
        <v>1300800</v>
      </c>
      <c r="J23" s="274">
        <v>703000</v>
      </c>
      <c r="K23" s="274">
        <v>703000</v>
      </c>
      <c r="L23" s="274">
        <v>703000</v>
      </c>
      <c r="M23" s="274">
        <v>703000</v>
      </c>
      <c r="N23" s="274">
        <v>703000</v>
      </c>
      <c r="O23" s="274">
        <v>703000</v>
      </c>
      <c r="P23" s="238">
        <f t="shared" si="13"/>
        <v>8770800</v>
      </c>
      <c r="Q23" s="239">
        <f t="shared" si="14"/>
        <v>7804800</v>
      </c>
      <c r="R23" s="275">
        <f t="shared" si="15"/>
        <v>-966000</v>
      </c>
    </row>
    <row r="24" spans="1:22" ht="15.75" x14ac:dyDescent="0.25">
      <c r="A24" s="228" t="s">
        <v>38</v>
      </c>
      <c r="B24" s="260">
        <v>200000</v>
      </c>
      <c r="C24" s="234">
        <f t="shared" si="12"/>
        <v>16666.666666666668</v>
      </c>
      <c r="D24" s="276">
        <v>17888.98</v>
      </c>
      <c r="E24" s="276">
        <v>17888.98</v>
      </c>
      <c r="F24" s="276">
        <v>17888.98</v>
      </c>
      <c r="G24" s="276">
        <v>17888.98</v>
      </c>
      <c r="H24" s="276">
        <v>17888.98</v>
      </c>
      <c r="I24" s="276">
        <f>17888.98+17888.98</f>
        <v>35777.96</v>
      </c>
      <c r="J24" s="276">
        <v>17888.98</v>
      </c>
      <c r="K24" s="276">
        <v>17888.98</v>
      </c>
      <c r="L24" s="276">
        <f>0.07+17888.98</f>
        <v>17889.05</v>
      </c>
      <c r="M24" s="276">
        <f>0.07+17888.98</f>
        <v>17889.05</v>
      </c>
      <c r="N24" s="276">
        <f>17888.98</f>
        <v>17888.98</v>
      </c>
      <c r="O24" s="276">
        <f>17888.98</f>
        <v>17888.98</v>
      </c>
      <c r="P24" s="238">
        <f t="shared" si="13"/>
        <v>232556.88</v>
      </c>
      <c r="Q24" s="239">
        <f t="shared" si="14"/>
        <v>200000</v>
      </c>
      <c r="R24" s="275">
        <f t="shared" si="15"/>
        <v>-32556.880000000005</v>
      </c>
    </row>
    <row r="25" spans="1:22" ht="15.75" x14ac:dyDescent="0.25">
      <c r="A25" s="273" t="s">
        <v>39</v>
      </c>
      <c r="B25" s="230">
        <v>250000</v>
      </c>
      <c r="C25" s="234">
        <f t="shared" si="12"/>
        <v>20833.333333333332</v>
      </c>
      <c r="D25" s="331">
        <f>вода!B32</f>
        <v>54965</v>
      </c>
      <c r="E25" s="331">
        <f>вода!C32</f>
        <v>33200</v>
      </c>
      <c r="F25" s="331">
        <f>вода!D32</f>
        <v>34476</v>
      </c>
      <c r="G25" s="331">
        <f>вода!E32</f>
        <v>5965</v>
      </c>
      <c r="H25" s="331">
        <f>вода!F32</f>
        <v>51768</v>
      </c>
      <c r="I25" s="331">
        <f>вода!G32</f>
        <v>65618</v>
      </c>
      <c r="J25" s="331">
        <f>вода!H32</f>
        <v>1231</v>
      </c>
      <c r="K25" s="331">
        <f>вода!I32</f>
        <v>74135</v>
      </c>
      <c r="L25" s="331">
        <f>вода!J32</f>
        <v>64939</v>
      </c>
      <c r="M25" s="331">
        <f>вода!K32</f>
        <v>13136</v>
      </c>
      <c r="N25" s="331">
        <f>вода!L32</f>
        <v>15766</v>
      </c>
      <c r="O25" s="331">
        <f>вода!M32</f>
        <v>123396</v>
      </c>
      <c r="P25" s="238">
        <f t="shared" si="13"/>
        <v>538595</v>
      </c>
      <c r="Q25" s="239">
        <f t="shared" si="14"/>
        <v>250000</v>
      </c>
      <c r="R25" s="275">
        <f t="shared" si="15"/>
        <v>-288595</v>
      </c>
    </row>
    <row r="26" spans="1:22" ht="15.75" x14ac:dyDescent="0.25">
      <c r="A26" s="273" t="s">
        <v>180</v>
      </c>
      <c r="B26" s="230">
        <v>450000</v>
      </c>
      <c r="C26" s="234">
        <f t="shared" si="12"/>
        <v>37500</v>
      </c>
      <c r="D26" s="331">
        <f>канализация!B65</f>
        <v>35385</v>
      </c>
      <c r="E26" s="331">
        <f>канализация!C65</f>
        <v>177740.88</v>
      </c>
      <c r="F26" s="331">
        <f>канализация!D65</f>
        <v>2464</v>
      </c>
      <c r="G26" s="331">
        <f>канализация!E65</f>
        <v>59172</v>
      </c>
      <c r="H26" s="331">
        <f>канализация!F65</f>
        <v>-139824.82999999999</v>
      </c>
      <c r="I26" s="331">
        <f>канализация!G65</f>
        <v>48980.5</v>
      </c>
      <c r="J26" s="331">
        <f>канализация!H65</f>
        <v>25855</v>
      </c>
      <c r="K26" s="331">
        <f>канализация!I65</f>
        <v>132470</v>
      </c>
      <c r="L26" s="331">
        <f>канализация!J65</f>
        <v>22600</v>
      </c>
      <c r="M26" s="331">
        <f>канализация!K65</f>
        <v>24367</v>
      </c>
      <c r="N26" s="331">
        <f>канализация!L65</f>
        <v>57632.5</v>
      </c>
      <c r="O26" s="331">
        <f>канализация!M65</f>
        <v>110897.7</v>
      </c>
      <c r="P26" s="238">
        <f t="shared" si="13"/>
        <v>557739.75</v>
      </c>
      <c r="Q26" s="239">
        <f t="shared" si="14"/>
        <v>450000</v>
      </c>
      <c r="R26" s="275">
        <f t="shared" si="15"/>
        <v>-107739.75</v>
      </c>
    </row>
    <row r="27" spans="1:22" ht="15.75" x14ac:dyDescent="0.25">
      <c r="A27" s="273" t="s">
        <v>60</v>
      </c>
      <c r="B27" s="230">
        <v>2100000</v>
      </c>
      <c r="C27" s="234">
        <f t="shared" si="12"/>
        <v>175000</v>
      </c>
      <c r="D27" s="331">
        <f>эл.снабж!B77</f>
        <v>136726.22</v>
      </c>
      <c r="E27" s="331">
        <f>эл.снабж!C77</f>
        <v>206829.35</v>
      </c>
      <c r="F27" s="331">
        <f>эл.снабж!D77</f>
        <v>299571.77</v>
      </c>
      <c r="G27" s="331">
        <f>эл.снабж!E77</f>
        <v>243727.27</v>
      </c>
      <c r="H27" s="331">
        <f>эл.снабж!F77</f>
        <v>257174.03</v>
      </c>
      <c r="I27" s="331">
        <f>эл.снабж!G77</f>
        <v>370022.3</v>
      </c>
      <c r="J27" s="331">
        <f>эл.снабж!H77</f>
        <v>185486.44</v>
      </c>
      <c r="K27" s="331">
        <f>эл.снабж!I77</f>
        <v>120602.98</v>
      </c>
      <c r="L27" s="331">
        <f>эл.снабж!J77</f>
        <v>99624.89</v>
      </c>
      <c r="M27" s="331">
        <f>эл.снабж!K77</f>
        <v>166924.04</v>
      </c>
      <c r="N27" s="331">
        <f>эл.снабж!L77</f>
        <v>167415.01999999999</v>
      </c>
      <c r="O27" s="331">
        <f>эл.снабж!M77</f>
        <v>159566.54</v>
      </c>
      <c r="P27" s="238">
        <f t="shared" si="13"/>
        <v>2413670.85</v>
      </c>
      <c r="Q27" s="239">
        <f t="shared" si="14"/>
        <v>2100000</v>
      </c>
      <c r="R27" s="275">
        <f t="shared" si="15"/>
        <v>-313670.85000000009</v>
      </c>
      <c r="V27" s="222" t="s">
        <v>61</v>
      </c>
    </row>
    <row r="28" spans="1:22" ht="30" x14ac:dyDescent="0.25">
      <c r="A28" s="273" t="s">
        <v>181</v>
      </c>
      <c r="B28" s="230">
        <v>400000</v>
      </c>
      <c r="C28" s="234">
        <f t="shared" si="12"/>
        <v>33333.333333333336</v>
      </c>
      <c r="D28" s="331">
        <f>'спец авто транспорт'!B46</f>
        <v>23006</v>
      </c>
      <c r="E28" s="331">
        <f>'спец авто транспорт'!C46</f>
        <v>67127.8</v>
      </c>
      <c r="F28" s="331">
        <f>'спец авто транспорт'!D46</f>
        <v>56601.380000000005</v>
      </c>
      <c r="G28" s="331">
        <f>'спец авто транспорт'!E46</f>
        <v>41997.08</v>
      </c>
      <c r="H28" s="331">
        <f>'спец авто транспорт'!F46</f>
        <v>140148.47</v>
      </c>
      <c r="I28" s="331">
        <f>'спец авто транспорт'!G46</f>
        <v>30759.360000000001</v>
      </c>
      <c r="J28" s="331">
        <f>'спец авто транспорт'!H46</f>
        <v>9872.7000000000007</v>
      </c>
      <c r="K28" s="331">
        <f>'спец авто транспорт'!I46</f>
        <v>5765.8</v>
      </c>
      <c r="L28" s="331">
        <f>'спец авто транспорт'!J46</f>
        <v>38722.699999999997</v>
      </c>
      <c r="M28" s="331">
        <f>'спец авто транспорт'!K46</f>
        <v>43120.6</v>
      </c>
      <c r="N28" s="331">
        <f>'спец авто транспорт'!L46</f>
        <v>50646</v>
      </c>
      <c r="O28" s="331">
        <f>'спец авто транспорт'!M46</f>
        <v>73904.7</v>
      </c>
      <c r="P28" s="238">
        <f t="shared" si="13"/>
        <v>581672.59</v>
      </c>
      <c r="Q28" s="239">
        <f t="shared" si="14"/>
        <v>400000</v>
      </c>
      <c r="R28" s="275">
        <f t="shared" si="15"/>
        <v>-181672.58999999997</v>
      </c>
    </row>
    <row r="29" spans="1:22" ht="15.75" x14ac:dyDescent="0.25">
      <c r="A29" s="273" t="s">
        <v>45</v>
      </c>
      <c r="B29" s="230">
        <v>450000</v>
      </c>
      <c r="C29" s="234">
        <f>B29/12</f>
        <v>37500</v>
      </c>
      <c r="D29" s="331">
        <f>'благ-во'!B62</f>
        <v>27744.42</v>
      </c>
      <c r="E29" s="331">
        <f>'благ-во'!C62</f>
        <v>18317</v>
      </c>
      <c r="F29" s="331">
        <f>'благ-во'!D62</f>
        <v>9583</v>
      </c>
      <c r="G29" s="331">
        <f>'благ-во'!E62</f>
        <v>5145</v>
      </c>
      <c r="H29" s="331">
        <f>'благ-во'!F62</f>
        <v>37420</v>
      </c>
      <c r="I29" s="331">
        <f>'благ-во'!G62</f>
        <v>65000</v>
      </c>
      <c r="J29" s="331">
        <f>'благ-во'!H62</f>
        <v>59729</v>
      </c>
      <c r="K29" s="331">
        <f>'благ-во'!I62</f>
        <v>63838.12</v>
      </c>
      <c r="L29" s="331">
        <f>'благ-во'!J62</f>
        <v>127913.89</v>
      </c>
      <c r="M29" s="331">
        <f>'благ-во'!K62</f>
        <v>136858</v>
      </c>
      <c r="N29" s="331">
        <f>'благ-во'!L62</f>
        <v>1922</v>
      </c>
      <c r="O29" s="331">
        <f>'благ-во'!M62</f>
        <v>77844</v>
      </c>
      <c r="P29" s="238">
        <f t="shared" si="13"/>
        <v>631314.42999999993</v>
      </c>
      <c r="Q29" s="239">
        <f t="shared" si="14"/>
        <v>450000</v>
      </c>
      <c r="R29" s="275">
        <f t="shared" ref="R29" si="16">Q29-P29</f>
        <v>-181314.42999999993</v>
      </c>
    </row>
    <row r="30" spans="1:22" ht="15.75" x14ac:dyDescent="0.25">
      <c r="A30" s="273" t="s">
        <v>182</v>
      </c>
      <c r="B30" s="230">
        <v>1600000</v>
      </c>
      <c r="C30" s="234">
        <f t="shared" si="12"/>
        <v>133333.33333333334</v>
      </c>
      <c r="D30" s="274">
        <v>199000</v>
      </c>
      <c r="E30" s="274"/>
      <c r="F30" s="274"/>
      <c r="G30" s="274"/>
      <c r="H30" s="274"/>
      <c r="I30" s="274">
        <v>699500</v>
      </c>
      <c r="J30" s="274">
        <f>699500</f>
        <v>699500</v>
      </c>
      <c r="K30" s="274"/>
      <c r="L30" s="274"/>
      <c r="M30" s="274"/>
      <c r="N30" s="274">
        <v>183300</v>
      </c>
      <c r="O30" s="274"/>
      <c r="P30" s="238">
        <f t="shared" si="13"/>
        <v>1781300</v>
      </c>
      <c r="Q30" s="327" t="s">
        <v>187</v>
      </c>
      <c r="R30" s="330">
        <f>B30-P30</f>
        <v>-181300</v>
      </c>
    </row>
    <row r="31" spans="1:22" ht="15.75" x14ac:dyDescent="0.25">
      <c r="A31" s="228" t="s">
        <v>33</v>
      </c>
      <c r="B31" s="260">
        <v>400000</v>
      </c>
      <c r="C31" s="234">
        <f>B31/12</f>
        <v>33333.333333333336</v>
      </c>
      <c r="D31" s="332">
        <f>премии!B5</f>
        <v>0</v>
      </c>
      <c r="E31" s="332">
        <f>премии!C5</f>
        <v>51180</v>
      </c>
      <c r="F31" s="332">
        <f>премии!D5</f>
        <v>0</v>
      </c>
      <c r="G31" s="332">
        <f>премии!E5</f>
        <v>40000</v>
      </c>
      <c r="H31" s="332">
        <f>премии!F5</f>
        <v>5750</v>
      </c>
      <c r="I31" s="332">
        <f>премии!G5</f>
        <v>0</v>
      </c>
      <c r="J31" s="332">
        <f>премии!H5</f>
        <v>0</v>
      </c>
      <c r="K31" s="332">
        <f>премии!I5</f>
        <v>0</v>
      </c>
      <c r="L31" s="332">
        <f>премии!J5</f>
        <v>0</v>
      </c>
      <c r="M31" s="332">
        <f>премии!K5</f>
        <v>0</v>
      </c>
      <c r="N31" s="332">
        <f>премии!L5</f>
        <v>0</v>
      </c>
      <c r="O31" s="332">
        <f>премии!M5</f>
        <v>263790</v>
      </c>
      <c r="P31" s="238">
        <f t="shared" si="13"/>
        <v>360720</v>
      </c>
      <c r="Q31" s="327" t="s">
        <v>187</v>
      </c>
      <c r="R31" s="330">
        <f>B31-P31</f>
        <v>39280</v>
      </c>
    </row>
    <row r="32" spans="1:22" ht="15.75" x14ac:dyDescent="0.25">
      <c r="A32" s="273" t="s">
        <v>62</v>
      </c>
      <c r="B32" s="230">
        <v>800000</v>
      </c>
      <c r="C32" s="234">
        <f t="shared" si="12"/>
        <v>66666.666666666672</v>
      </c>
      <c r="D32" s="274"/>
      <c r="E32" s="274"/>
      <c r="F32" s="274"/>
      <c r="G32" s="274"/>
      <c r="H32" s="274"/>
      <c r="I32" s="274"/>
      <c r="J32" s="274"/>
      <c r="K32" s="274"/>
      <c r="L32" s="274"/>
      <c r="M32" s="274"/>
      <c r="N32" s="274"/>
      <c r="O32" s="274"/>
      <c r="P32" s="238">
        <f t="shared" si="13"/>
        <v>0</v>
      </c>
      <c r="Q32" s="327" t="s">
        <v>187</v>
      </c>
      <c r="R32" s="330">
        <f t="shared" ref="R32:R33" si="17">B32-P32</f>
        <v>800000</v>
      </c>
    </row>
    <row r="33" spans="1:19" ht="15.75" x14ac:dyDescent="0.25">
      <c r="A33" s="277" t="s">
        <v>63</v>
      </c>
      <c r="B33" s="241">
        <v>241600</v>
      </c>
      <c r="C33" s="234">
        <f t="shared" si="12"/>
        <v>20133.333333333332</v>
      </c>
      <c r="D33" s="278"/>
      <c r="E33" s="278"/>
      <c r="F33" s="278"/>
      <c r="G33" s="278"/>
      <c r="H33" s="278"/>
      <c r="I33" s="278"/>
      <c r="J33" s="278"/>
      <c r="K33" s="278"/>
      <c r="L33" s="278"/>
      <c r="M33" s="278"/>
      <c r="N33" s="278"/>
      <c r="O33" s="278"/>
      <c r="P33" s="238">
        <f t="shared" si="13"/>
        <v>0</v>
      </c>
      <c r="Q33" s="327" t="s">
        <v>187</v>
      </c>
      <c r="R33" s="330">
        <f t="shared" si="17"/>
        <v>241600</v>
      </c>
    </row>
    <row r="34" spans="1:19" ht="16.5" thickBot="1" x14ac:dyDescent="0.3">
      <c r="A34" s="303" t="s">
        <v>47</v>
      </c>
      <c r="B34" s="280">
        <v>1832050</v>
      </c>
      <c r="C34" s="281">
        <f t="shared" si="12"/>
        <v>152670.83333333334</v>
      </c>
      <c r="D34" s="334">
        <f>'рез фонд'!B55</f>
        <v>93333.9</v>
      </c>
      <c r="E34" s="334">
        <f>'рез фонд'!C55</f>
        <v>0</v>
      </c>
      <c r="F34" s="334">
        <f>'рез фонд'!D55</f>
        <v>418156</v>
      </c>
      <c r="G34" s="334">
        <f>'рез фонд'!E55</f>
        <v>99190</v>
      </c>
      <c r="H34" s="334">
        <f>'рез фонд'!F55</f>
        <v>206419</v>
      </c>
      <c r="I34" s="334">
        <f>'рез фонд'!G55</f>
        <v>155909.76000000001</v>
      </c>
      <c r="J34" s="334">
        <f>'рез фонд'!H55</f>
        <v>281457.40000000002</v>
      </c>
      <c r="K34" s="334">
        <f>'рез фонд'!I55</f>
        <v>332072</v>
      </c>
      <c r="L34" s="334">
        <f>'рез фонд'!J55</f>
        <v>254190</v>
      </c>
      <c r="M34" s="334">
        <f>'рез фонд'!K55</f>
        <v>237128</v>
      </c>
      <c r="N34" s="334">
        <f>'рез фонд'!L55</f>
        <v>0</v>
      </c>
      <c r="O34" s="334">
        <f>'рез фонд'!M55</f>
        <v>0</v>
      </c>
      <c r="P34" s="283">
        <f t="shared" si="13"/>
        <v>2077856.06</v>
      </c>
      <c r="Q34" s="328" t="s">
        <v>187</v>
      </c>
      <c r="R34" s="329">
        <f t="shared" ref="R34" si="18">B34-P34</f>
        <v>-245806.06000000006</v>
      </c>
      <c r="S34" s="279"/>
    </row>
    <row r="35" spans="1:19" ht="31.5" x14ac:dyDescent="0.25">
      <c r="A35" s="304" t="s">
        <v>64</v>
      </c>
      <c r="B35" s="297">
        <f t="shared" ref="B35:P35" si="19">SUM(B17:B34)</f>
        <v>38473050</v>
      </c>
      <c r="C35" s="297">
        <f t="shared" si="19"/>
        <v>3206087.5000000009</v>
      </c>
      <c r="D35" s="297">
        <f t="shared" si="19"/>
        <v>2680620.04</v>
      </c>
      <c r="E35" s="297">
        <f t="shared" si="19"/>
        <v>3379737.78</v>
      </c>
      <c r="F35" s="297">
        <f t="shared" si="19"/>
        <v>2157735.92</v>
      </c>
      <c r="G35" s="297">
        <f t="shared" si="19"/>
        <v>2531571.61</v>
      </c>
      <c r="H35" s="297">
        <f>SUM(H17:H34)</f>
        <v>2544745.41</v>
      </c>
      <c r="I35" s="297">
        <f t="shared" si="19"/>
        <v>4379712.2899999991</v>
      </c>
      <c r="J35" s="297">
        <f>SUM(J17:J34)</f>
        <v>3625523.53</v>
      </c>
      <c r="K35" s="297">
        <f t="shared" si="19"/>
        <v>3299773.5</v>
      </c>
      <c r="L35" s="297">
        <f t="shared" si="19"/>
        <v>2900645.37</v>
      </c>
      <c r="M35" s="297">
        <f t="shared" si="19"/>
        <v>2929068.82</v>
      </c>
      <c r="N35" s="297">
        <f t="shared" si="19"/>
        <v>2765013.7199999997</v>
      </c>
      <c r="O35" s="297">
        <f t="shared" si="19"/>
        <v>3263574.0000000005</v>
      </c>
      <c r="P35" s="297">
        <f t="shared" si="19"/>
        <v>36457721.990000002</v>
      </c>
      <c r="Q35" s="297" t="s">
        <v>187</v>
      </c>
      <c r="R35" s="297">
        <f>SUM(R17:R34)</f>
        <v>2015328.0100000012</v>
      </c>
      <c r="S35" s="279"/>
    </row>
    <row r="36" spans="1:19" ht="15.75" x14ac:dyDescent="0.25">
      <c r="A36" s="298"/>
      <c r="B36" s="286"/>
      <c r="C36" s="286"/>
      <c r="D36" s="286"/>
      <c r="E36" s="286"/>
      <c r="F36" s="286"/>
      <c r="G36" s="286"/>
      <c r="H36" s="286"/>
      <c r="I36" s="286"/>
      <c r="J36" s="286"/>
      <c r="K36" s="286"/>
      <c r="L36" s="286"/>
      <c r="M36" s="286"/>
      <c r="N36" s="286"/>
      <c r="O36" s="286"/>
      <c r="P36" s="286"/>
      <c r="Q36" s="286"/>
      <c r="R36" s="286"/>
      <c r="S36" s="279"/>
    </row>
    <row r="37" spans="1:19" ht="15.75" x14ac:dyDescent="0.25">
      <c r="A37" s="301" t="s">
        <v>66</v>
      </c>
      <c r="B37" s="230">
        <v>5000000</v>
      </c>
      <c r="C37" s="234">
        <f t="shared" ref="C37:C45" si="20">B37/12</f>
        <v>416666.66666666669</v>
      </c>
      <c r="D37" s="274" t="s">
        <v>61</v>
      </c>
      <c r="E37" s="274"/>
      <c r="F37" s="274">
        <f>607410.22+370886+4110+37400+18100+6165</f>
        <v>1044071.22</v>
      </c>
      <c r="G37" s="274"/>
      <c r="H37" s="274">
        <f>4497+279034.74-32600</f>
        <v>250931.74</v>
      </c>
      <c r="I37" s="274"/>
      <c r="J37" s="274">
        <f>370851</f>
        <v>370851</v>
      </c>
      <c r="K37" s="274">
        <f>577500+71113</f>
        <v>648613</v>
      </c>
      <c r="L37" s="274">
        <f>673808+199689</f>
        <v>873497</v>
      </c>
      <c r="M37" s="274">
        <f>780245</f>
        <v>780245</v>
      </c>
      <c r="N37" s="274">
        <f>344713+122090+293327.2+673857+99033.5+655750</f>
        <v>2188770.7000000002</v>
      </c>
      <c r="O37" s="274">
        <f>67217+90960+73878</f>
        <v>232055</v>
      </c>
      <c r="P37" s="238">
        <f>SUM(D37:O37)</f>
        <v>6389034.6600000001</v>
      </c>
      <c r="Q37" s="330" t="s">
        <v>187</v>
      </c>
      <c r="R37" s="299">
        <f t="shared" ref="R37:R45" si="21">B37-P37</f>
        <v>-1389034.6600000001</v>
      </c>
    </row>
    <row r="38" spans="1:19" ht="15.75" x14ac:dyDescent="0.25">
      <c r="A38" s="228" t="s">
        <v>126</v>
      </c>
      <c r="B38" s="260">
        <v>2900000</v>
      </c>
      <c r="C38" s="234">
        <f t="shared" si="20"/>
        <v>241666.66666666666</v>
      </c>
      <c r="D38" s="276"/>
      <c r="E38" s="276">
        <v>776930</v>
      </c>
      <c r="F38" s="276"/>
      <c r="G38" s="276"/>
      <c r="H38" s="276">
        <f>307440+32600</f>
        <v>340040</v>
      </c>
      <c r="I38" s="276">
        <f>1560000+520001</f>
        <v>2080001</v>
      </c>
      <c r="J38" s="276"/>
      <c r="K38" s="276"/>
      <c r="L38" s="276"/>
      <c r="M38" s="276"/>
      <c r="N38" s="276"/>
      <c r="O38" s="276"/>
      <c r="P38" s="238">
        <f t="shared" ref="P38:P45" si="22">SUM(D38:O38)</f>
        <v>3196971</v>
      </c>
      <c r="Q38" s="327" t="s">
        <v>187</v>
      </c>
      <c r="R38" s="299">
        <f t="shared" si="21"/>
        <v>-296971</v>
      </c>
    </row>
    <row r="39" spans="1:19" ht="15.75" x14ac:dyDescent="0.25">
      <c r="A39" s="228" t="s">
        <v>67</v>
      </c>
      <c r="B39" s="260">
        <v>260000</v>
      </c>
      <c r="C39" s="234">
        <f t="shared" si="20"/>
        <v>21666.666666666668</v>
      </c>
      <c r="D39" s="276"/>
      <c r="E39" s="276">
        <v>180000</v>
      </c>
      <c r="F39" s="276"/>
      <c r="G39" s="276"/>
      <c r="H39" s="276"/>
      <c r="I39" s="276"/>
      <c r="J39" s="276"/>
      <c r="K39" s="276"/>
      <c r="L39" s="276"/>
      <c r="M39" s="276"/>
      <c r="N39" s="276"/>
      <c r="O39" s="276"/>
      <c r="P39" s="238">
        <f t="shared" si="22"/>
        <v>180000</v>
      </c>
      <c r="Q39" s="327" t="s">
        <v>187</v>
      </c>
      <c r="R39" s="299">
        <f t="shared" si="21"/>
        <v>80000</v>
      </c>
    </row>
    <row r="40" spans="1:19" ht="30" x14ac:dyDescent="0.25">
      <c r="A40" s="273" t="s">
        <v>183</v>
      </c>
      <c r="B40" s="230">
        <v>1500000</v>
      </c>
      <c r="C40" s="234">
        <f t="shared" si="20"/>
        <v>125000</v>
      </c>
      <c r="D40" s="274">
        <f>917000-D43</f>
        <v>668120</v>
      </c>
      <c r="E40" s="274"/>
      <c r="F40" s="274">
        <f>437055+57134.7+158400</f>
        <v>652589.69999999995</v>
      </c>
      <c r="G40" s="274">
        <v>4082</v>
      </c>
      <c r="H40" s="274"/>
      <c r="I40" s="274"/>
      <c r="J40" s="274">
        <v>388710</v>
      </c>
      <c r="K40" s="274"/>
      <c r="L40" s="274"/>
      <c r="M40" s="274"/>
      <c r="N40" s="274"/>
      <c r="O40" s="274"/>
      <c r="P40" s="238">
        <f t="shared" si="22"/>
        <v>1713501.7</v>
      </c>
      <c r="Q40" s="327" t="s">
        <v>187</v>
      </c>
      <c r="R40" s="299">
        <f t="shared" si="21"/>
        <v>-213501.69999999995</v>
      </c>
    </row>
    <row r="41" spans="1:19" ht="30" x14ac:dyDescent="0.25">
      <c r="A41" s="273" t="s">
        <v>149</v>
      </c>
      <c r="B41" s="230">
        <v>60000</v>
      </c>
      <c r="C41" s="234">
        <f>B41/12</f>
        <v>5000</v>
      </c>
      <c r="D41" s="274"/>
      <c r="E41" s="274"/>
      <c r="F41" s="274"/>
      <c r="G41" s="274"/>
      <c r="H41" s="274"/>
      <c r="I41" s="274"/>
      <c r="J41" s="274"/>
      <c r="K41" s="274"/>
      <c r="L41" s="274"/>
      <c r="M41" s="274"/>
      <c r="N41" s="274"/>
      <c r="O41" s="274"/>
      <c r="P41" s="238">
        <f t="shared" si="22"/>
        <v>0</v>
      </c>
      <c r="Q41" s="327" t="s">
        <v>187</v>
      </c>
      <c r="R41" s="299">
        <f t="shared" si="21"/>
        <v>60000</v>
      </c>
    </row>
    <row r="42" spans="1:19" ht="30" x14ac:dyDescent="0.25">
      <c r="A42" s="273" t="s">
        <v>127</v>
      </c>
      <c r="B42" s="230">
        <v>500000</v>
      </c>
      <c r="C42" s="234">
        <f t="shared" si="20"/>
        <v>41666.666666666664</v>
      </c>
      <c r="D42" s="274"/>
      <c r="E42" s="274"/>
      <c r="F42" s="274"/>
      <c r="G42" s="274"/>
      <c r="H42" s="274"/>
      <c r="I42" s="274"/>
      <c r="J42" s="274">
        <f>4008.03+340000</f>
        <v>344008.03</v>
      </c>
      <c r="K42" s="274">
        <f>28900+104012</f>
        <v>132912</v>
      </c>
      <c r="L42" s="274"/>
      <c r="M42" s="274"/>
      <c r="N42" s="274"/>
      <c r="O42" s="274"/>
      <c r="P42" s="238">
        <f t="shared" si="22"/>
        <v>476920.03</v>
      </c>
      <c r="Q42" s="327" t="s">
        <v>187</v>
      </c>
      <c r="R42" s="299">
        <f t="shared" si="21"/>
        <v>23079.969999999972</v>
      </c>
    </row>
    <row r="43" spans="1:19" ht="30" x14ac:dyDescent="0.25">
      <c r="A43" s="273" t="s">
        <v>184</v>
      </c>
      <c r="B43" s="230">
        <v>330000</v>
      </c>
      <c r="C43" s="234">
        <f t="shared" si="20"/>
        <v>27500</v>
      </c>
      <c r="D43" s="274">
        <v>248880</v>
      </c>
      <c r="E43" s="274" t="s">
        <v>61</v>
      </c>
      <c r="F43" s="274"/>
      <c r="G43" s="274"/>
      <c r="H43" s="274"/>
      <c r="I43" s="274"/>
      <c r="J43" s="274"/>
      <c r="K43" s="274"/>
      <c r="L43" s="274"/>
      <c r="M43" s="274"/>
      <c r="N43" s="274"/>
      <c r="O43" s="274"/>
      <c r="P43" s="238">
        <f t="shared" si="22"/>
        <v>248880</v>
      </c>
      <c r="Q43" s="327" t="s">
        <v>187</v>
      </c>
      <c r="R43" s="299">
        <f t="shared" si="21"/>
        <v>81120</v>
      </c>
    </row>
    <row r="44" spans="1:19" ht="30" x14ac:dyDescent="0.25">
      <c r="A44" s="273" t="s">
        <v>185</v>
      </c>
      <c r="B44" s="230">
        <v>690000</v>
      </c>
      <c r="C44" s="234">
        <f t="shared" si="20"/>
        <v>57500</v>
      </c>
      <c r="D44" s="274" t="s">
        <v>61</v>
      </c>
      <c r="E44" s="274"/>
      <c r="F44" s="274"/>
      <c r="G44" s="274"/>
      <c r="H44" s="274"/>
      <c r="I44" s="274">
        <f>261650+156990</f>
        <v>418640</v>
      </c>
      <c r="J44" s="274"/>
      <c r="K44" s="274"/>
      <c r="L44" s="274"/>
      <c r="M44" s="274"/>
      <c r="N44" s="274">
        <f>68808+79365+65550</f>
        <v>213723</v>
      </c>
      <c r="O44" s="274"/>
      <c r="P44" s="238">
        <f t="shared" si="22"/>
        <v>632363</v>
      </c>
      <c r="Q44" s="327" t="s">
        <v>187</v>
      </c>
      <c r="R44" s="299">
        <f t="shared" si="21"/>
        <v>57637</v>
      </c>
    </row>
    <row r="45" spans="1:19" ht="30.75" thickBot="1" x14ac:dyDescent="0.3">
      <c r="A45" s="303" t="s">
        <v>186</v>
      </c>
      <c r="B45" s="280">
        <v>190000</v>
      </c>
      <c r="C45" s="281">
        <f t="shared" si="20"/>
        <v>15833.333333333334</v>
      </c>
      <c r="D45" s="282">
        <v>80592</v>
      </c>
      <c r="E45" s="282"/>
      <c r="F45" s="282"/>
      <c r="G45" s="282"/>
      <c r="H45" s="282"/>
      <c r="I45" s="282"/>
      <c r="J45" s="282"/>
      <c r="K45" s="282"/>
      <c r="L45" s="282"/>
      <c r="M45" s="282">
        <f>47150+104113.18</f>
        <v>151263.18</v>
      </c>
      <c r="N45" s="282"/>
      <c r="O45" s="282"/>
      <c r="P45" s="283">
        <f t="shared" si="22"/>
        <v>231855.18</v>
      </c>
      <c r="Q45" s="329" t="s">
        <v>187</v>
      </c>
      <c r="R45" s="305">
        <f t="shared" si="21"/>
        <v>-41855.179999999993</v>
      </c>
    </row>
    <row r="46" spans="1:19" ht="31.5" x14ac:dyDescent="0.25">
      <c r="A46" s="302" t="s">
        <v>65</v>
      </c>
      <c r="B46" s="297">
        <f t="shared" ref="B46:H46" si="23">SUM(B37:B45)</f>
        <v>11430000</v>
      </c>
      <c r="C46" s="297">
        <f t="shared" si="23"/>
        <v>952500</v>
      </c>
      <c r="D46" s="297">
        <f t="shared" si="23"/>
        <v>997592</v>
      </c>
      <c r="E46" s="297">
        <f t="shared" si="23"/>
        <v>956930</v>
      </c>
      <c r="F46" s="297">
        <f t="shared" si="23"/>
        <v>1696660.92</v>
      </c>
      <c r="G46" s="297">
        <f t="shared" si="23"/>
        <v>4082</v>
      </c>
      <c r="H46" s="297">
        <f t="shared" si="23"/>
        <v>590971.74</v>
      </c>
      <c r="I46" s="297">
        <f t="shared" ref="I46:P46" si="24">SUM(I37:I45)</f>
        <v>2498641</v>
      </c>
      <c r="J46" s="297">
        <f t="shared" si="24"/>
        <v>1103569.03</v>
      </c>
      <c r="K46" s="297">
        <f t="shared" si="24"/>
        <v>781525</v>
      </c>
      <c r="L46" s="297">
        <f t="shared" si="24"/>
        <v>873497</v>
      </c>
      <c r="M46" s="297">
        <f t="shared" si="24"/>
        <v>931508.17999999993</v>
      </c>
      <c r="N46" s="297">
        <f t="shared" si="24"/>
        <v>2402493.7000000002</v>
      </c>
      <c r="O46" s="297">
        <f t="shared" si="24"/>
        <v>232055</v>
      </c>
      <c r="P46" s="297">
        <f t="shared" si="24"/>
        <v>13069525.569999998</v>
      </c>
      <c r="Q46" s="297" t="s">
        <v>187</v>
      </c>
      <c r="R46" s="297">
        <f>SUM(R37:R45)</f>
        <v>-1639525.57</v>
      </c>
      <c r="S46" s="279"/>
    </row>
    <row r="47" spans="1:19" ht="15.75" x14ac:dyDescent="0.25">
      <c r="A47" s="298"/>
      <c r="B47" s="298"/>
      <c r="C47" s="298"/>
      <c r="D47" s="298"/>
      <c r="E47" s="298"/>
      <c r="F47" s="298"/>
      <c r="G47" s="298"/>
      <c r="H47" s="298"/>
      <c r="I47" s="298"/>
      <c r="J47" s="298"/>
      <c r="K47" s="298"/>
      <c r="L47" s="298"/>
      <c r="M47" s="298"/>
      <c r="N47" s="298"/>
      <c r="O47" s="298"/>
      <c r="P47" s="298"/>
      <c r="Q47" s="298"/>
      <c r="R47" s="298"/>
      <c r="S47" s="279"/>
    </row>
    <row r="48" spans="1:19" ht="15.75" x14ac:dyDescent="0.25">
      <c r="A48" s="300" t="s">
        <v>48</v>
      </c>
      <c r="B48" s="230">
        <f t="shared" ref="B48:P48" si="25">B35+B46</f>
        <v>49903050</v>
      </c>
      <c r="C48" s="234">
        <f t="shared" si="25"/>
        <v>4158587.5000000009</v>
      </c>
      <c r="D48" s="230">
        <f t="shared" si="25"/>
        <v>3678212.04</v>
      </c>
      <c r="E48" s="230">
        <f t="shared" si="25"/>
        <v>4336667.7799999993</v>
      </c>
      <c r="F48" s="230">
        <f t="shared" si="25"/>
        <v>3854396.84</v>
      </c>
      <c r="G48" s="230">
        <f t="shared" si="25"/>
        <v>2535653.61</v>
      </c>
      <c r="H48" s="230">
        <f t="shared" si="25"/>
        <v>3135717.1500000004</v>
      </c>
      <c r="I48" s="230">
        <f>I35+I46</f>
        <v>6878353.2899999991</v>
      </c>
      <c r="J48" s="230">
        <f t="shared" si="25"/>
        <v>4729092.5599999996</v>
      </c>
      <c r="K48" s="230">
        <f t="shared" si="25"/>
        <v>4081298.5</v>
      </c>
      <c r="L48" s="230">
        <f t="shared" si="25"/>
        <v>3774142.37</v>
      </c>
      <c r="M48" s="230">
        <f t="shared" si="25"/>
        <v>3860577</v>
      </c>
      <c r="N48" s="230">
        <f t="shared" si="25"/>
        <v>5167507.42</v>
      </c>
      <c r="O48" s="230">
        <f t="shared" si="25"/>
        <v>3495629.0000000005</v>
      </c>
      <c r="P48" s="230">
        <f t="shared" si="25"/>
        <v>49527247.560000002</v>
      </c>
      <c r="Q48" s="230" t="s">
        <v>187</v>
      </c>
      <c r="R48" s="275">
        <f>R35+R46</f>
        <v>375802.44000000111</v>
      </c>
    </row>
    <row r="49" spans="1:19" ht="15.75" x14ac:dyDescent="0.25">
      <c r="A49" s="219"/>
      <c r="B49" s="220"/>
      <c r="C49" s="220"/>
      <c r="D49" s="220"/>
      <c r="E49" s="220"/>
      <c r="F49" s="220"/>
      <c r="G49" s="220"/>
      <c r="H49" s="220"/>
      <c r="I49" s="220"/>
      <c r="J49" s="220"/>
      <c r="K49" s="220"/>
      <c r="L49" s="220"/>
      <c r="M49" s="220"/>
      <c r="N49" s="220"/>
      <c r="O49" s="220"/>
      <c r="P49" s="220"/>
      <c r="Q49" s="292"/>
      <c r="R49" s="220"/>
    </row>
    <row r="50" spans="1:19" s="296" customFormat="1" ht="24.75" customHeight="1" x14ac:dyDescent="0.25">
      <c r="A50" s="293" t="s">
        <v>146</v>
      </c>
      <c r="B50" s="294"/>
      <c r="C50" s="294"/>
      <c r="D50" s="295">
        <v>2480099.36</v>
      </c>
      <c r="E50" s="295">
        <v>1904347.08</v>
      </c>
      <c r="F50" s="295">
        <v>2613404.11</v>
      </c>
      <c r="G50" s="295">
        <v>4089416.59</v>
      </c>
      <c r="H50" s="295">
        <v>5266639.62</v>
      </c>
      <c r="I50" s="295">
        <v>2626369.0499999998</v>
      </c>
      <c r="J50" s="295">
        <v>1746184.13</v>
      </c>
      <c r="K50" s="295">
        <v>1859543.39</v>
      </c>
      <c r="L50" s="295">
        <v>2365379.36</v>
      </c>
      <c r="M50" s="295">
        <v>2894134.41</v>
      </c>
      <c r="N50" s="295">
        <v>1330508.7</v>
      </c>
      <c r="O50" s="418">
        <v>2208884.1</v>
      </c>
      <c r="P50" s="212"/>
      <c r="Q50" s="212"/>
      <c r="R50" s="212"/>
    </row>
    <row r="51" spans="1:19" ht="15.75" x14ac:dyDescent="0.25">
      <c r="A51" s="287"/>
      <c r="B51" s="284"/>
      <c r="C51" s="284"/>
      <c r="D51" s="285"/>
      <c r="E51" s="285"/>
      <c r="F51" s="285"/>
      <c r="G51" s="285"/>
      <c r="H51" s="285"/>
      <c r="I51" s="285"/>
      <c r="J51" s="285"/>
      <c r="K51" s="285"/>
      <c r="L51" s="285"/>
      <c r="M51" s="285"/>
      <c r="N51" s="285"/>
      <c r="O51" s="285"/>
      <c r="P51" s="212"/>
      <c r="Q51" s="212"/>
      <c r="R51" s="212"/>
    </row>
    <row r="52" spans="1:19" s="218" customFormat="1" ht="15.75" x14ac:dyDescent="0.25">
      <c r="A52" s="215"/>
      <c r="B52" s="411" t="s">
        <v>141</v>
      </c>
      <c r="C52" s="288" t="s">
        <v>139</v>
      </c>
      <c r="D52" s="289">
        <v>22800</v>
      </c>
      <c r="E52" s="289">
        <v>41300</v>
      </c>
      <c r="F52" s="289">
        <v>21000</v>
      </c>
      <c r="G52" s="289">
        <v>25000</v>
      </c>
      <c r="H52" s="289">
        <v>24700</v>
      </c>
      <c r="I52" s="289">
        <v>10500</v>
      </c>
      <c r="J52" s="289">
        <v>63200</v>
      </c>
      <c r="K52" s="289">
        <v>50000</v>
      </c>
      <c r="L52" s="289">
        <f>K53</f>
        <v>171300</v>
      </c>
      <c r="M52" s="289">
        <v>27800</v>
      </c>
      <c r="N52" s="289">
        <f>M53</f>
        <v>38300</v>
      </c>
      <c r="O52" s="289">
        <v>20200</v>
      </c>
      <c r="P52" s="212"/>
      <c r="Q52" s="212"/>
      <c r="R52" s="212"/>
    </row>
    <row r="53" spans="1:19" s="218" customFormat="1" ht="15.75" x14ac:dyDescent="0.25">
      <c r="A53" s="215"/>
      <c r="B53" s="411"/>
      <c r="C53" s="288" t="s">
        <v>140</v>
      </c>
      <c r="D53" s="289">
        <v>41300</v>
      </c>
      <c r="E53" s="289">
        <v>21000</v>
      </c>
      <c r="F53" s="289">
        <v>25000</v>
      </c>
      <c r="G53" s="289">
        <v>24700</v>
      </c>
      <c r="H53" s="289">
        <v>10500</v>
      </c>
      <c r="I53" s="289">
        <v>63200</v>
      </c>
      <c r="J53" s="289">
        <v>50000</v>
      </c>
      <c r="K53" s="289">
        <v>171300</v>
      </c>
      <c r="L53" s="289">
        <v>27800</v>
      </c>
      <c r="M53" s="289">
        <v>38300</v>
      </c>
      <c r="N53" s="289">
        <v>20200</v>
      </c>
      <c r="O53" s="289">
        <v>10300</v>
      </c>
      <c r="P53" s="212"/>
      <c r="Q53" s="212"/>
      <c r="R53" s="212"/>
    </row>
    <row r="54" spans="1:19" s="208" customFormat="1" ht="15.75" x14ac:dyDescent="0.25">
      <c r="A54" s="209"/>
      <c r="B54" s="212"/>
      <c r="C54" s="212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1"/>
      <c r="P54" s="212"/>
      <c r="Q54" s="212"/>
      <c r="R54" s="212"/>
    </row>
    <row r="55" spans="1:19" s="213" customFormat="1" ht="15.75" x14ac:dyDescent="0.25">
      <c r="A55" s="209"/>
      <c r="B55" s="412" t="s">
        <v>142</v>
      </c>
      <c r="C55" s="290" t="s">
        <v>139</v>
      </c>
      <c r="D55" s="210">
        <v>-2303</v>
      </c>
      <c r="E55" s="210">
        <v>0</v>
      </c>
      <c r="F55" s="210">
        <v>0</v>
      </c>
      <c r="G55" s="210">
        <v>0</v>
      </c>
      <c r="H55" s="210">
        <v>0</v>
      </c>
      <c r="I55" s="210">
        <v>1040</v>
      </c>
      <c r="J55" s="210">
        <v>1328</v>
      </c>
      <c r="K55" s="210">
        <f>J56</f>
        <v>2251.6</v>
      </c>
      <c r="L55" s="210">
        <f>K56</f>
        <v>-431.92</v>
      </c>
      <c r="M55" s="210">
        <v>0</v>
      </c>
      <c r="N55" s="210">
        <f>M56</f>
        <v>0</v>
      </c>
      <c r="O55" s="210">
        <f>N56</f>
        <v>1434.03</v>
      </c>
      <c r="P55" s="212"/>
      <c r="Q55" s="212"/>
      <c r="R55" s="212"/>
      <c r="S55" s="208"/>
    </row>
    <row r="56" spans="1:19" s="213" customFormat="1" ht="15.75" x14ac:dyDescent="0.25">
      <c r="A56" s="209"/>
      <c r="B56" s="412"/>
      <c r="C56" s="290" t="s">
        <v>140</v>
      </c>
      <c r="D56" s="210">
        <v>0</v>
      </c>
      <c r="E56" s="210">
        <v>0</v>
      </c>
      <c r="F56" s="210">
        <v>0</v>
      </c>
      <c r="G56" s="210">
        <v>0</v>
      </c>
      <c r="H56" s="210">
        <v>-1040</v>
      </c>
      <c r="I56" s="210">
        <v>1328</v>
      </c>
      <c r="J56" s="210">
        <v>2251.6</v>
      </c>
      <c r="K56" s="210">
        <v>-431.92</v>
      </c>
      <c r="L56" s="210">
        <v>0</v>
      </c>
      <c r="M56" s="376">
        <v>0</v>
      </c>
      <c r="N56" s="210">
        <v>1434.03</v>
      </c>
      <c r="O56" s="376">
        <v>-268</v>
      </c>
      <c r="P56" s="212"/>
      <c r="Q56" s="212"/>
      <c r="R56" s="212"/>
      <c r="S56" s="208"/>
    </row>
    <row r="57" spans="1:19" s="213" customFormat="1" ht="15.75" x14ac:dyDescent="0.25">
      <c r="A57" s="209"/>
      <c r="B57" s="212"/>
      <c r="C57" s="212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1"/>
      <c r="P57" s="212"/>
      <c r="Q57" s="212"/>
      <c r="R57" s="212"/>
      <c r="S57" s="208"/>
    </row>
    <row r="58" spans="1:19" s="213" customFormat="1" ht="15.75" x14ac:dyDescent="0.25">
      <c r="A58" s="209"/>
      <c r="B58" s="410" t="s">
        <v>150</v>
      </c>
      <c r="C58" s="309" t="s">
        <v>151</v>
      </c>
      <c r="D58" s="211">
        <v>3602790.71</v>
      </c>
      <c r="E58" s="211">
        <v>3760915.7</v>
      </c>
      <c r="F58" s="211">
        <v>4592479.87</v>
      </c>
      <c r="G58" s="211">
        <v>3971666.04</v>
      </c>
      <c r="H58" s="211">
        <v>4587808.18</v>
      </c>
      <c r="I58" s="211">
        <v>4239524.72</v>
      </c>
      <c r="J58" s="211">
        <v>4031284.04</v>
      </c>
      <c r="K58" s="211">
        <v>5497341.2800000003</v>
      </c>
      <c r="L58" s="211">
        <v>4282823.03</v>
      </c>
      <c r="M58" s="211">
        <v>4389332.05</v>
      </c>
      <c r="N58" s="211">
        <v>3609792.97</v>
      </c>
      <c r="O58" s="211">
        <v>4379396.43</v>
      </c>
      <c r="P58" s="212"/>
      <c r="Q58" s="212"/>
      <c r="R58" s="212"/>
      <c r="S58" s="208"/>
    </row>
    <row r="59" spans="1:19" s="213" customFormat="1" ht="15.75" x14ac:dyDescent="0.25">
      <c r="A59" s="209"/>
      <c r="B59" s="410"/>
      <c r="C59" s="309" t="s">
        <v>152</v>
      </c>
      <c r="D59" s="211">
        <v>3690905.99</v>
      </c>
      <c r="E59" s="211">
        <v>4336667.9800000004</v>
      </c>
      <c r="F59" s="211">
        <v>3883422.84</v>
      </c>
      <c r="G59" s="211">
        <v>2535653.61</v>
      </c>
      <c r="H59" s="211">
        <v>3370585.15</v>
      </c>
      <c r="I59" s="211">
        <v>6879795.29</v>
      </c>
      <c r="J59" s="211">
        <v>4911468.96</v>
      </c>
      <c r="K59" s="211">
        <v>5383982.0199999996</v>
      </c>
      <c r="L59" s="211">
        <v>3776987.06</v>
      </c>
      <c r="M59" s="211">
        <v>3860577</v>
      </c>
      <c r="N59" s="211">
        <v>5173418.68</v>
      </c>
      <c r="O59" s="211">
        <v>3501021.03</v>
      </c>
      <c r="P59" s="212"/>
      <c r="Q59" s="212"/>
      <c r="R59" s="212"/>
      <c r="S59" s="208"/>
    </row>
    <row r="60" spans="1:19" s="218" customFormat="1" ht="15.75" x14ac:dyDescent="0.25">
      <c r="A60" s="215"/>
      <c r="B60" s="216"/>
      <c r="C60" s="310"/>
      <c r="D60" s="217"/>
      <c r="E60" s="217"/>
      <c r="F60" s="217"/>
      <c r="G60" s="217"/>
      <c r="H60" s="217"/>
      <c r="I60" s="217"/>
      <c r="J60" s="217"/>
      <c r="K60" s="217"/>
      <c r="L60" s="217"/>
      <c r="M60" s="217"/>
      <c r="N60" s="217"/>
      <c r="O60" s="217"/>
      <c r="P60" s="216"/>
      <c r="Q60" s="216"/>
      <c r="R60" s="216"/>
    </row>
    <row r="61" spans="1:19" s="361" customFormat="1" ht="15.75" x14ac:dyDescent="0.25">
      <c r="A61" s="211"/>
      <c r="B61" s="211"/>
      <c r="C61" s="211"/>
      <c r="D61" s="211">
        <f>D59-D48+D56-D55-D12</f>
        <v>-4.9999999813735485E-2</v>
      </c>
      <c r="E61" s="211">
        <f>E59-E48+E56-E55-E12</f>
        <v>0.20000000111758709</v>
      </c>
      <c r="F61" s="211">
        <f>F59-F48+F56-F55-F12-'спец авто транспорт'!D14</f>
        <v>0</v>
      </c>
      <c r="G61" s="211">
        <f>G59-G48+G56-G55-G12</f>
        <v>0</v>
      </c>
      <c r="H61" s="363">
        <f>H59-H48+H56-H55-H12+канализация!F28</f>
        <v>-4.6566128730773926E-10</v>
      </c>
      <c r="I61" s="363">
        <f>I59-I48+I56-I55-I12</f>
        <v>9.3132257461547852E-10</v>
      </c>
      <c r="J61" s="363">
        <f>J59-J48+J56-J55-J12-183300</f>
        <v>3.7834979593753815E-10</v>
      </c>
      <c r="K61" s="363">
        <f>K59-K48+K56-K55-K12-1300000</f>
        <v>0</v>
      </c>
      <c r="L61" s="363">
        <f>L59-L48+L56-L55-L12</f>
        <v>-5.5933924159035087E-11</v>
      </c>
      <c r="M61" s="363">
        <f>M59-M48+M56-M55-M12</f>
        <v>0</v>
      </c>
      <c r="N61" s="419">
        <f>N59-N48+N56-N55-N12-800+390</f>
        <v>-2.2373569663614035E-10</v>
      </c>
      <c r="O61" s="419">
        <f>O59-O48+O56-O55-O12</f>
        <v>-6.7029759520664811E-10</v>
      </c>
      <c r="P61" s="308"/>
      <c r="Q61" s="211"/>
      <c r="R61" s="211"/>
      <c r="S61" s="211"/>
    </row>
    <row r="62" spans="1:19" s="207" customFormat="1" x14ac:dyDescent="0.25">
      <c r="A62" s="291"/>
      <c r="B62" s="226"/>
      <c r="C62" s="226"/>
      <c r="D62" s="206"/>
      <c r="E62" s="206"/>
      <c r="F62" s="206"/>
      <c r="G62" s="206"/>
      <c r="H62" s="206"/>
      <c r="I62" s="206"/>
      <c r="J62" s="206"/>
      <c r="K62" s="206"/>
      <c r="L62" s="206"/>
      <c r="M62" s="206"/>
      <c r="N62" s="206"/>
      <c r="O62" s="206"/>
      <c r="P62" s="199"/>
      <c r="Q62" s="199"/>
      <c r="R62" s="199"/>
      <c r="S62" s="205"/>
    </row>
    <row r="63" spans="1:19" s="207" customFormat="1" x14ac:dyDescent="0.25">
      <c r="A63" s="291"/>
      <c r="B63" s="226"/>
      <c r="C63" s="226"/>
      <c r="D63" s="206"/>
      <c r="E63" s="206"/>
      <c r="F63" s="206"/>
      <c r="G63" s="206"/>
      <c r="H63" s="206"/>
      <c r="I63" s="206"/>
      <c r="J63" s="206"/>
      <c r="K63" s="206"/>
      <c r="L63" s="374"/>
      <c r="M63" s="206"/>
      <c r="N63" s="206"/>
      <c r="O63" s="206"/>
      <c r="P63" s="199"/>
      <c r="Q63" s="199"/>
      <c r="R63" s="199"/>
      <c r="S63" s="205"/>
    </row>
    <row r="64" spans="1:19" s="207" customFormat="1" x14ac:dyDescent="0.25">
      <c r="A64" s="291"/>
      <c r="B64" s="226"/>
      <c r="C64" s="226"/>
      <c r="D64" s="206"/>
      <c r="E64" s="206"/>
      <c r="F64" s="206"/>
      <c r="G64" s="206"/>
      <c r="H64" s="206"/>
      <c r="I64" s="206"/>
      <c r="J64" s="206"/>
      <c r="K64" s="206"/>
      <c r="L64" s="206"/>
      <c r="M64" s="206"/>
      <c r="N64" s="206"/>
      <c r="O64" s="206"/>
      <c r="P64" s="199"/>
      <c r="Q64" s="199"/>
      <c r="R64" s="199"/>
      <c r="S64" s="205"/>
    </row>
    <row r="65" spans="1:19" s="207" customFormat="1" x14ac:dyDescent="0.25">
      <c r="A65" s="291"/>
      <c r="B65" s="226"/>
      <c r="C65" s="226"/>
      <c r="D65" s="206"/>
      <c r="E65" s="206"/>
      <c r="F65" s="206"/>
      <c r="G65" s="206"/>
      <c r="H65" s="206"/>
      <c r="I65" s="206"/>
      <c r="J65" s="206"/>
      <c r="K65" s="206"/>
      <c r="L65" s="206"/>
      <c r="M65" s="206"/>
      <c r="N65" s="206"/>
      <c r="O65" s="206"/>
      <c r="P65" s="199"/>
      <c r="Q65" s="199"/>
      <c r="R65" s="199"/>
      <c r="S65" s="205"/>
    </row>
    <row r="66" spans="1:19" s="207" customFormat="1" x14ac:dyDescent="0.25">
      <c r="A66" s="291"/>
      <c r="B66" s="226"/>
      <c r="C66" s="226"/>
      <c r="D66" s="206"/>
      <c r="E66" s="206"/>
      <c r="F66" s="206"/>
      <c r="G66" s="206"/>
      <c r="H66" s="206"/>
      <c r="I66" s="206"/>
      <c r="J66" s="206"/>
      <c r="K66" s="206"/>
      <c r="L66" s="206"/>
      <c r="M66" s="206"/>
      <c r="N66" s="206"/>
      <c r="O66" s="206"/>
      <c r="P66" s="199"/>
      <c r="Q66" s="199"/>
      <c r="R66" s="199"/>
      <c r="S66" s="205"/>
    </row>
    <row r="67" spans="1:19" x14ac:dyDescent="0.25">
      <c r="D67" s="206"/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  <c r="P67" s="199"/>
      <c r="Q67" s="199"/>
      <c r="R67" s="199"/>
      <c r="S67" s="205"/>
    </row>
    <row r="69" spans="1:19" ht="15.75" customHeight="1" x14ac:dyDescent="0.25"/>
    <row r="70" spans="1:19" ht="15.75" customHeight="1" x14ac:dyDescent="0.25"/>
    <row r="71" spans="1:19" ht="15.75" customHeight="1" x14ac:dyDescent="0.25"/>
  </sheetData>
  <mergeCells count="3">
    <mergeCell ref="B58:B59"/>
    <mergeCell ref="B52:B53"/>
    <mergeCell ref="B55:B56"/>
  </mergeCells>
  <phoneticPr fontId="22" type="noConversion"/>
  <pageMargins left="0.25" right="0.25" top="0.75" bottom="0.75" header="0.3" footer="0.3"/>
  <pageSetup paperSize="9" scale="46" firstPageNumber="4294967295" orientation="landscape" verticalDpi="18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workbookViewId="0">
      <selection activeCell="H22" sqref="H22"/>
    </sheetView>
  </sheetViews>
  <sheetFormatPr defaultRowHeight="15" x14ac:dyDescent="0.25"/>
  <cols>
    <col min="4" max="4" width="9.85546875" bestFit="1" customWidth="1"/>
    <col min="6" max="6" width="13.5703125" customWidth="1"/>
    <col min="7" max="7" width="11.5703125" customWidth="1"/>
    <col min="8" max="8" width="11.42578125" customWidth="1"/>
    <col min="10" max="10" width="8.85546875" customWidth="1"/>
    <col min="11" max="19" width="10.85546875" customWidth="1"/>
    <col min="20" max="20" width="12.5703125" customWidth="1"/>
    <col min="21" max="21" width="9.85546875" customWidth="1"/>
  </cols>
  <sheetData>
    <row r="1" spans="1:21" ht="15.75" x14ac:dyDescent="0.25">
      <c r="A1" s="97" t="s">
        <v>68</v>
      </c>
      <c r="B1" s="98"/>
      <c r="C1" s="98"/>
      <c r="D1" s="98"/>
      <c r="E1" s="98"/>
      <c r="F1" s="97"/>
      <c r="G1" s="99"/>
      <c r="H1" s="100" t="s">
        <v>69</v>
      </c>
      <c r="I1" s="100"/>
      <c r="J1" s="100"/>
      <c r="K1" s="100"/>
      <c r="L1" s="100"/>
      <c r="M1" s="100"/>
      <c r="N1" s="100"/>
      <c r="O1" s="99"/>
      <c r="P1" s="99"/>
      <c r="Q1" s="99"/>
      <c r="R1" s="99"/>
      <c r="S1" s="99"/>
      <c r="T1" s="99"/>
    </row>
    <row r="2" spans="1:21" x14ac:dyDescent="0.25">
      <c r="A2" s="101" t="s">
        <v>70</v>
      </c>
      <c r="B2" s="85"/>
      <c r="C2" s="85"/>
      <c r="D2" s="85"/>
      <c r="E2" s="85"/>
      <c r="F2" s="413" t="s">
        <v>71</v>
      </c>
      <c r="G2" s="102" t="s">
        <v>72</v>
      </c>
      <c r="H2" s="9" t="s">
        <v>73</v>
      </c>
      <c r="I2" s="9"/>
      <c r="J2" s="9"/>
      <c r="K2" s="9"/>
      <c r="L2" s="9"/>
      <c r="M2" s="9"/>
      <c r="N2" s="9"/>
      <c r="O2" s="9"/>
      <c r="P2" s="9"/>
      <c r="Q2" s="9"/>
      <c r="R2" s="11"/>
      <c r="S2" s="11"/>
      <c r="T2" s="102" t="s">
        <v>74</v>
      </c>
    </row>
    <row r="3" spans="1:21" x14ac:dyDescent="0.25">
      <c r="A3" s="12"/>
      <c r="B3" s="13"/>
      <c r="C3" s="13"/>
      <c r="D3" s="13"/>
      <c r="E3" s="13"/>
      <c r="F3" s="414"/>
      <c r="G3" s="103" t="s">
        <v>75</v>
      </c>
      <c r="H3" s="104" t="s">
        <v>4</v>
      </c>
      <c r="I3" s="14" t="s">
        <v>5</v>
      </c>
      <c r="J3" s="14" t="s">
        <v>6</v>
      </c>
      <c r="K3" s="14" t="s">
        <v>7</v>
      </c>
      <c r="L3" s="14" t="s">
        <v>8</v>
      </c>
      <c r="M3" s="14" t="s">
        <v>9</v>
      </c>
      <c r="N3" s="14" t="s">
        <v>14</v>
      </c>
      <c r="O3" s="14" t="s">
        <v>15</v>
      </c>
      <c r="P3" s="14" t="s">
        <v>16</v>
      </c>
      <c r="Q3" s="14" t="s">
        <v>17</v>
      </c>
      <c r="R3" s="105" t="s">
        <v>18</v>
      </c>
      <c r="S3" s="105" t="s">
        <v>19</v>
      </c>
      <c r="T3" s="103"/>
    </row>
    <row r="4" spans="1:21" x14ac:dyDescent="0.25">
      <c r="A4" s="70" t="s">
        <v>76</v>
      </c>
      <c r="B4" s="71"/>
      <c r="C4" s="71"/>
      <c r="D4" s="71"/>
      <c r="E4" s="71"/>
      <c r="F4" s="106">
        <v>25090303</v>
      </c>
      <c r="G4" s="106">
        <f>F4/12</f>
        <v>2090858.5833333333</v>
      </c>
      <c r="H4" s="107">
        <v>2150745</v>
      </c>
      <c r="I4" s="108"/>
      <c r="J4" s="108"/>
      <c r="K4" s="108"/>
      <c r="L4" s="108"/>
      <c r="M4" s="108"/>
      <c r="N4" s="108"/>
      <c r="O4" s="108"/>
      <c r="P4" s="108"/>
      <c r="Q4" s="108"/>
      <c r="R4" s="109"/>
      <c r="S4" s="109"/>
      <c r="T4" s="110">
        <f t="shared" ref="T4:T9" si="0">SUM(H4:S4)</f>
        <v>2150745</v>
      </c>
      <c r="U4" s="111"/>
    </row>
    <row r="5" spans="1:21" x14ac:dyDescent="0.25">
      <c r="A5" s="70" t="s">
        <v>77</v>
      </c>
      <c r="B5" s="71"/>
      <c r="C5" s="71"/>
      <c r="D5" s="71"/>
      <c r="E5" s="71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3"/>
      <c r="S5" s="109"/>
      <c r="T5" s="110">
        <f t="shared" si="0"/>
        <v>0</v>
      </c>
    </row>
    <row r="6" spans="1:21" x14ac:dyDescent="0.25">
      <c r="A6" s="70" t="s">
        <v>78</v>
      </c>
      <c r="B6" s="71"/>
      <c r="C6" s="71"/>
      <c r="D6" s="71"/>
      <c r="E6" s="71"/>
      <c r="F6" s="112"/>
      <c r="G6" s="112"/>
      <c r="H6" s="107">
        <v>36280</v>
      </c>
      <c r="I6" s="108"/>
      <c r="J6" s="108"/>
      <c r="K6" s="108"/>
      <c r="L6" s="108"/>
      <c r="M6" s="108"/>
      <c r="N6" s="108"/>
      <c r="O6" s="108"/>
      <c r="P6" s="108"/>
      <c r="Q6" s="108"/>
      <c r="R6" s="109"/>
      <c r="S6" s="109"/>
      <c r="T6" s="110">
        <f t="shared" si="0"/>
        <v>36280</v>
      </c>
    </row>
    <row r="7" spans="1:21" x14ac:dyDescent="0.25">
      <c r="A7" s="70" t="s">
        <v>79</v>
      </c>
      <c r="B7" s="71"/>
      <c r="C7" s="71"/>
      <c r="D7" s="71"/>
      <c r="E7" s="71"/>
      <c r="F7" s="112"/>
      <c r="G7" s="112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9"/>
      <c r="S7" s="109"/>
      <c r="T7" s="110">
        <f t="shared" si="0"/>
        <v>0</v>
      </c>
      <c r="U7" s="85"/>
    </row>
    <row r="8" spans="1:21" x14ac:dyDescent="0.25">
      <c r="A8" s="70" t="s">
        <v>80</v>
      </c>
      <c r="B8" s="71"/>
      <c r="C8" s="71"/>
      <c r="D8" s="71"/>
      <c r="E8" s="71"/>
      <c r="F8" s="112"/>
      <c r="G8" s="112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9"/>
      <c r="S8" s="109"/>
      <c r="T8" s="114">
        <f t="shared" si="0"/>
        <v>0</v>
      </c>
    </row>
    <row r="9" spans="1:21" x14ac:dyDescent="0.25">
      <c r="A9" s="112" t="s">
        <v>81</v>
      </c>
      <c r="B9" s="70"/>
      <c r="C9" s="71"/>
      <c r="D9" s="71"/>
      <c r="E9" s="71"/>
      <c r="F9" s="112"/>
      <c r="G9" s="112"/>
      <c r="H9" s="107">
        <f>15000+99836+10860</f>
        <v>125696</v>
      </c>
      <c r="I9" s="108"/>
      <c r="J9" s="112"/>
      <c r="K9" s="112"/>
      <c r="L9" s="112"/>
      <c r="M9" s="112"/>
      <c r="N9" s="112"/>
      <c r="O9" s="112"/>
      <c r="P9" s="108"/>
      <c r="Q9" s="112"/>
      <c r="R9" s="113"/>
      <c r="S9" s="113"/>
      <c r="T9" s="114">
        <f t="shared" si="0"/>
        <v>125696</v>
      </c>
    </row>
    <row r="10" spans="1:21" ht="15.75" x14ac:dyDescent="0.25">
      <c r="A10" s="115"/>
      <c r="B10" s="64" t="s">
        <v>82</v>
      </c>
      <c r="C10" s="64"/>
      <c r="D10" s="64"/>
      <c r="E10" s="64"/>
      <c r="F10" s="116">
        <f>SUM(F4:F9)</f>
        <v>25090303</v>
      </c>
      <c r="G10" s="116">
        <f>SUM(G4:G9)</f>
        <v>2090858.5833333333</v>
      </c>
      <c r="H10" s="117">
        <f>SUM(H4:H9)</f>
        <v>2312721</v>
      </c>
      <c r="I10" s="108"/>
      <c r="J10" s="108"/>
      <c r="K10" s="108"/>
      <c r="L10" s="108"/>
      <c r="M10" s="108"/>
      <c r="N10" s="108"/>
      <c r="O10" s="108"/>
      <c r="P10" s="108"/>
      <c r="Q10" s="108"/>
      <c r="R10" s="109"/>
      <c r="S10" s="109"/>
      <c r="T10" s="110">
        <f>SUM(T4:T9)</f>
        <v>2312721</v>
      </c>
    </row>
    <row r="11" spans="1:21" x14ac:dyDescent="0.25">
      <c r="A11" s="71"/>
      <c r="B11" s="71"/>
      <c r="C11" s="71"/>
      <c r="D11" s="71"/>
      <c r="E11" s="71"/>
      <c r="F11" s="98" t="s">
        <v>83</v>
      </c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118"/>
      <c r="S11" s="118"/>
      <c r="T11" s="98"/>
      <c r="U11" s="119" t="s">
        <v>84</v>
      </c>
    </row>
    <row r="12" spans="1:21" x14ac:dyDescent="0.25">
      <c r="A12" s="70" t="s">
        <v>28</v>
      </c>
      <c r="B12" s="71"/>
      <c r="C12" s="71"/>
      <c r="D12" s="71"/>
      <c r="E12" s="71"/>
      <c r="F12" s="120">
        <v>900000</v>
      </c>
      <c r="G12" s="120">
        <f t="shared" ref="G12:G32" si="1">F12/12</f>
        <v>75000</v>
      </c>
      <c r="H12" s="121">
        <v>63332</v>
      </c>
      <c r="I12" s="108"/>
      <c r="J12" s="108"/>
      <c r="K12" s="108"/>
      <c r="L12" s="108"/>
      <c r="M12" s="108"/>
      <c r="N12" s="108"/>
      <c r="O12" s="108"/>
      <c r="P12" s="108"/>
      <c r="Q12" s="108"/>
      <c r="R12" s="109"/>
      <c r="S12" s="109"/>
      <c r="T12" s="122">
        <f t="shared" ref="T12:T32" si="2">SUM(H12:S12)</f>
        <v>63332</v>
      </c>
      <c r="U12" s="123">
        <f t="shared" ref="U12:U32" si="3">G12*12-T12</f>
        <v>836668</v>
      </c>
    </row>
    <row r="13" spans="1:21" x14ac:dyDescent="0.25">
      <c r="A13" s="12" t="s">
        <v>29</v>
      </c>
      <c r="B13" s="13"/>
      <c r="C13" s="13"/>
      <c r="D13" s="13"/>
      <c r="E13" s="13"/>
      <c r="F13" s="124">
        <v>160000</v>
      </c>
      <c r="G13" s="120">
        <f t="shared" si="1"/>
        <v>13333.333333333334</v>
      </c>
      <c r="H13" s="125">
        <v>11634</v>
      </c>
      <c r="I13" s="126"/>
      <c r="J13" s="126"/>
      <c r="K13" s="126"/>
      <c r="L13" s="126"/>
      <c r="M13" s="126"/>
      <c r="N13" s="126"/>
      <c r="O13" s="126"/>
      <c r="P13" s="126"/>
      <c r="Q13" s="126"/>
      <c r="R13" s="127"/>
      <c r="S13" s="127"/>
      <c r="T13" s="110">
        <f t="shared" si="2"/>
        <v>11634</v>
      </c>
      <c r="U13" s="128">
        <f t="shared" si="3"/>
        <v>148366</v>
      </c>
    </row>
    <row r="14" spans="1:21" x14ac:dyDescent="0.25">
      <c r="A14" s="70" t="s">
        <v>30</v>
      </c>
      <c r="B14" s="71"/>
      <c r="C14" s="71"/>
      <c r="D14" s="71"/>
      <c r="E14" s="76"/>
      <c r="F14" s="120">
        <v>140000</v>
      </c>
      <c r="G14" s="120">
        <f t="shared" si="1"/>
        <v>11666.666666666666</v>
      </c>
      <c r="H14" s="121">
        <v>6336</v>
      </c>
      <c r="I14" s="108"/>
      <c r="J14" s="108"/>
      <c r="K14" s="108"/>
      <c r="L14" s="108"/>
      <c r="M14" s="108"/>
      <c r="N14" s="108"/>
      <c r="O14" s="108"/>
      <c r="P14" s="108"/>
      <c r="Q14" s="108"/>
      <c r="R14" s="109"/>
      <c r="S14" s="109"/>
      <c r="T14" s="110">
        <f t="shared" si="2"/>
        <v>6336</v>
      </c>
      <c r="U14" s="123">
        <f t="shared" si="3"/>
        <v>133664</v>
      </c>
    </row>
    <row r="15" spans="1:21" x14ac:dyDescent="0.25">
      <c r="A15" s="12" t="s">
        <v>31</v>
      </c>
      <c r="B15" s="13"/>
      <c r="C15" s="13"/>
      <c r="D15" s="13"/>
      <c r="E15" s="77"/>
      <c r="F15" s="124">
        <v>300000</v>
      </c>
      <c r="G15" s="120">
        <f t="shared" si="1"/>
        <v>25000</v>
      </c>
      <c r="H15" s="125">
        <v>70000</v>
      </c>
      <c r="I15" s="126"/>
      <c r="J15" s="126"/>
      <c r="K15" s="126"/>
      <c r="L15" s="126"/>
      <c r="M15" s="126"/>
      <c r="N15" s="126"/>
      <c r="O15" s="126"/>
      <c r="P15" s="126"/>
      <c r="Q15" s="126"/>
      <c r="R15" s="127"/>
      <c r="S15" s="127"/>
      <c r="T15" s="110">
        <f t="shared" si="2"/>
        <v>70000</v>
      </c>
      <c r="U15" s="128">
        <f t="shared" si="3"/>
        <v>230000</v>
      </c>
    </row>
    <row r="16" spans="1:21" x14ac:dyDescent="0.25">
      <c r="A16" s="12" t="s">
        <v>32</v>
      </c>
      <c r="B16" s="13"/>
      <c r="C16" s="13"/>
      <c r="D16" s="13"/>
      <c r="E16" s="77"/>
      <c r="F16" s="124">
        <v>7890000</v>
      </c>
      <c r="G16" s="120">
        <f t="shared" si="1"/>
        <v>657500</v>
      </c>
      <c r="H16" s="125">
        <v>729871</v>
      </c>
      <c r="I16" s="126"/>
      <c r="J16" s="126"/>
      <c r="K16" s="126"/>
      <c r="L16" s="126"/>
      <c r="M16" s="126"/>
      <c r="N16" s="126"/>
      <c r="O16" s="126"/>
      <c r="P16" s="126"/>
      <c r="Q16" s="126"/>
      <c r="R16" s="127"/>
      <c r="S16" s="127"/>
      <c r="T16" s="110">
        <f t="shared" si="2"/>
        <v>729871</v>
      </c>
      <c r="U16" s="123">
        <f t="shared" si="3"/>
        <v>7160129</v>
      </c>
    </row>
    <row r="17" spans="1:23" x14ac:dyDescent="0.25">
      <c r="A17" s="12" t="s">
        <v>33</v>
      </c>
      <c r="B17" s="13"/>
      <c r="C17" s="13"/>
      <c r="D17" s="13"/>
      <c r="E17" s="13"/>
      <c r="F17" s="124">
        <v>500000</v>
      </c>
      <c r="G17" s="120">
        <f t="shared" si="1"/>
        <v>41666.666666666664</v>
      </c>
      <c r="H17" s="125">
        <v>9200</v>
      </c>
      <c r="I17" s="126"/>
      <c r="J17" s="126"/>
      <c r="K17" s="126"/>
      <c r="L17" s="126"/>
      <c r="M17" s="126"/>
      <c r="N17" s="126"/>
      <c r="O17" s="126"/>
      <c r="P17" s="126"/>
      <c r="Q17" s="126"/>
      <c r="R17" s="127"/>
      <c r="S17" s="127"/>
      <c r="T17" s="110">
        <f t="shared" si="2"/>
        <v>9200</v>
      </c>
      <c r="U17" s="128">
        <f t="shared" si="3"/>
        <v>490800</v>
      </c>
    </row>
    <row r="18" spans="1:23" x14ac:dyDescent="0.25">
      <c r="A18" s="12" t="s">
        <v>34</v>
      </c>
      <c r="B18" s="13"/>
      <c r="C18" s="13"/>
      <c r="D18" s="13"/>
      <c r="E18" s="13"/>
      <c r="F18" s="124">
        <v>2517000</v>
      </c>
      <c r="G18" s="120">
        <f t="shared" si="1"/>
        <v>209750</v>
      </c>
      <c r="H18" s="125">
        <v>215933</v>
      </c>
      <c r="I18" s="126"/>
      <c r="J18" s="126"/>
      <c r="K18" s="126"/>
      <c r="L18" s="126"/>
      <c r="M18" s="126"/>
      <c r="N18" s="126"/>
      <c r="O18" s="126"/>
      <c r="P18" s="126"/>
      <c r="Q18" s="126"/>
      <c r="R18" s="127"/>
      <c r="S18" s="127"/>
      <c r="T18" s="110">
        <f t="shared" si="2"/>
        <v>215933</v>
      </c>
      <c r="U18" s="123">
        <f t="shared" si="3"/>
        <v>2301067</v>
      </c>
    </row>
    <row r="19" spans="1:23" x14ac:dyDescent="0.25">
      <c r="A19" s="12" t="s">
        <v>85</v>
      </c>
      <c r="B19" s="13"/>
      <c r="C19" s="13"/>
      <c r="D19" s="13"/>
      <c r="E19" s="13"/>
      <c r="F19" s="124">
        <v>200000</v>
      </c>
      <c r="G19" s="120">
        <f t="shared" si="1"/>
        <v>16666.666666666668</v>
      </c>
      <c r="H19" s="125">
        <v>0</v>
      </c>
      <c r="I19" s="126"/>
      <c r="J19" s="126"/>
      <c r="K19" s="126"/>
      <c r="L19" s="126"/>
      <c r="M19" s="126"/>
      <c r="N19" s="126"/>
      <c r="O19" s="126"/>
      <c r="P19" s="126"/>
      <c r="Q19" s="126"/>
      <c r="R19" s="127"/>
      <c r="S19" s="127"/>
      <c r="T19" s="122">
        <f t="shared" si="2"/>
        <v>0</v>
      </c>
      <c r="U19" s="128">
        <f t="shared" si="3"/>
        <v>200000</v>
      </c>
    </row>
    <row r="20" spans="1:23" x14ac:dyDescent="0.25">
      <c r="A20" s="70" t="s">
        <v>36</v>
      </c>
      <c r="B20" s="71"/>
      <c r="C20" s="71"/>
      <c r="D20" s="71"/>
      <c r="E20" s="71"/>
      <c r="F20" s="120">
        <v>1950000</v>
      </c>
      <c r="G20" s="120">
        <f t="shared" si="1"/>
        <v>162500</v>
      </c>
      <c r="H20" s="129">
        <v>179000</v>
      </c>
      <c r="I20" s="108"/>
      <c r="J20" s="108"/>
      <c r="K20" s="108"/>
      <c r="L20" s="108"/>
      <c r="M20" s="108"/>
      <c r="N20" s="108"/>
      <c r="O20" s="108"/>
      <c r="P20" s="108"/>
      <c r="Q20" s="108"/>
      <c r="R20" s="109"/>
      <c r="S20" s="109"/>
      <c r="T20" s="110">
        <f t="shared" si="2"/>
        <v>179000</v>
      </c>
      <c r="U20" s="123">
        <f t="shared" si="3"/>
        <v>1771000</v>
      </c>
    </row>
    <row r="21" spans="1:23" x14ac:dyDescent="0.25">
      <c r="A21" s="70" t="s">
        <v>37</v>
      </c>
      <c r="B21" s="71"/>
      <c r="C21" s="71"/>
      <c r="D21" s="71"/>
      <c r="E21" s="76"/>
      <c r="F21" s="120">
        <v>7400000</v>
      </c>
      <c r="G21" s="120">
        <f t="shared" si="1"/>
        <v>616666.66666666663</v>
      </c>
      <c r="H21" s="121">
        <v>566600</v>
      </c>
      <c r="I21" s="108"/>
      <c r="J21" s="108"/>
      <c r="K21" s="108"/>
      <c r="L21" s="108"/>
      <c r="M21" s="108"/>
      <c r="N21" s="108"/>
      <c r="O21" s="108"/>
      <c r="P21" s="108"/>
      <c r="Q21" s="108"/>
      <c r="R21" s="109"/>
      <c r="S21" s="109"/>
      <c r="T21" s="110">
        <f t="shared" si="2"/>
        <v>566600</v>
      </c>
      <c r="U21" s="128">
        <f t="shared" si="3"/>
        <v>6833400</v>
      </c>
    </row>
    <row r="22" spans="1:23" x14ac:dyDescent="0.25">
      <c r="A22" s="12" t="s">
        <v>38</v>
      </c>
      <c r="B22" s="13"/>
      <c r="C22" s="13"/>
      <c r="D22" s="13"/>
      <c r="E22" s="13"/>
      <c r="F22" s="124">
        <v>230000</v>
      </c>
      <c r="G22" s="120">
        <f t="shared" si="1"/>
        <v>19166.666666666668</v>
      </c>
      <c r="H22" s="125">
        <v>17252</v>
      </c>
      <c r="I22" s="126"/>
      <c r="J22" s="126"/>
      <c r="K22" s="126"/>
      <c r="L22" s="126"/>
      <c r="M22" s="126"/>
      <c r="N22" s="126"/>
      <c r="O22" s="126"/>
      <c r="P22" s="126"/>
      <c r="Q22" s="126"/>
      <c r="R22" s="127"/>
      <c r="S22" s="127"/>
      <c r="T22" s="110">
        <f t="shared" si="2"/>
        <v>17252</v>
      </c>
      <c r="U22" s="123">
        <f t="shared" si="3"/>
        <v>212748</v>
      </c>
    </row>
    <row r="23" spans="1:23" x14ac:dyDescent="0.25">
      <c r="A23" s="70" t="s">
        <v>39</v>
      </c>
      <c r="B23" s="71"/>
      <c r="C23" s="71"/>
      <c r="D23" s="71"/>
      <c r="E23" s="71"/>
      <c r="F23" s="120">
        <v>1240000</v>
      </c>
      <c r="G23" s="120">
        <f t="shared" si="1"/>
        <v>103333.33333333333</v>
      </c>
      <c r="H23" s="121">
        <v>128037</v>
      </c>
      <c r="I23" s="108"/>
      <c r="J23" s="108"/>
      <c r="K23" s="108"/>
      <c r="L23" s="108"/>
      <c r="M23" s="108"/>
      <c r="N23" s="108"/>
      <c r="O23" s="108"/>
      <c r="P23" s="108"/>
      <c r="Q23" s="108"/>
      <c r="R23" s="109"/>
      <c r="S23" s="109"/>
      <c r="T23" s="110">
        <f t="shared" si="2"/>
        <v>128037</v>
      </c>
      <c r="U23" s="128">
        <f t="shared" si="3"/>
        <v>1111963</v>
      </c>
    </row>
    <row r="24" spans="1:23" x14ac:dyDescent="0.25">
      <c r="A24" s="70" t="s">
        <v>86</v>
      </c>
      <c r="B24" s="71"/>
      <c r="C24" s="71"/>
      <c r="D24" s="71"/>
      <c r="E24" s="71"/>
      <c r="F24" s="120">
        <f>250000+480000</f>
        <v>730000</v>
      </c>
      <c r="G24" s="120">
        <f t="shared" si="1"/>
        <v>60833.333333333336</v>
      </c>
      <c r="H24" s="121">
        <v>72400</v>
      </c>
      <c r="I24" s="108"/>
      <c r="J24" s="108"/>
      <c r="K24" s="108"/>
      <c r="L24" s="108"/>
      <c r="M24" s="108"/>
      <c r="N24" s="108"/>
      <c r="O24" s="108"/>
      <c r="P24" s="108"/>
      <c r="Q24" s="108"/>
      <c r="R24" s="109"/>
      <c r="S24" s="109"/>
      <c r="T24" s="110">
        <f t="shared" si="2"/>
        <v>72400</v>
      </c>
      <c r="U24" s="123">
        <f t="shared" si="3"/>
        <v>657600</v>
      </c>
    </row>
    <row r="25" spans="1:23" x14ac:dyDescent="0.25">
      <c r="A25" s="70" t="s">
        <v>41</v>
      </c>
      <c r="B25" s="71"/>
      <c r="C25" s="71"/>
      <c r="D25" s="71"/>
      <c r="E25" s="71"/>
      <c r="F25" s="120">
        <v>250000</v>
      </c>
      <c r="G25" s="120">
        <f t="shared" si="1"/>
        <v>20833.333333333332</v>
      </c>
      <c r="H25" s="121">
        <v>1080</v>
      </c>
      <c r="I25" s="108"/>
      <c r="J25" s="108"/>
      <c r="K25" s="108"/>
      <c r="L25" s="108"/>
      <c r="M25" s="108"/>
      <c r="N25" s="108"/>
      <c r="O25" s="108"/>
      <c r="P25" s="108"/>
      <c r="Q25" s="108"/>
      <c r="R25" s="109"/>
      <c r="S25" s="109"/>
      <c r="T25" s="122">
        <f t="shared" si="2"/>
        <v>1080</v>
      </c>
      <c r="U25" s="128">
        <f t="shared" si="3"/>
        <v>248920</v>
      </c>
    </row>
    <row r="26" spans="1:23" x14ac:dyDescent="0.25">
      <c r="A26" s="70" t="s">
        <v>42</v>
      </c>
      <c r="B26" s="71"/>
      <c r="C26" s="71"/>
      <c r="D26" s="71"/>
      <c r="E26" s="71"/>
      <c r="F26" s="120">
        <v>1800000</v>
      </c>
      <c r="G26" s="120">
        <f t="shared" si="1"/>
        <v>150000</v>
      </c>
      <c r="H26" s="121">
        <v>98486</v>
      </c>
      <c r="I26" s="108"/>
      <c r="J26" s="108"/>
      <c r="K26" s="108"/>
      <c r="L26" s="108"/>
      <c r="M26" s="108"/>
      <c r="N26" s="108"/>
      <c r="O26" s="108"/>
      <c r="P26" s="108"/>
      <c r="Q26" s="108"/>
      <c r="R26" s="109"/>
      <c r="S26" s="109"/>
      <c r="T26" s="110">
        <f t="shared" si="2"/>
        <v>98486</v>
      </c>
      <c r="U26" s="123">
        <f t="shared" si="3"/>
        <v>1701514</v>
      </c>
    </row>
    <row r="27" spans="1:23" x14ac:dyDescent="0.25">
      <c r="A27" s="70" t="s">
        <v>43</v>
      </c>
      <c r="B27" s="71"/>
      <c r="C27" s="71"/>
      <c r="D27" s="71"/>
      <c r="E27" s="71"/>
      <c r="F27" s="120">
        <v>1700000</v>
      </c>
      <c r="G27" s="120">
        <f t="shared" si="1"/>
        <v>141666.66666666666</v>
      </c>
      <c r="H27" s="129">
        <v>0</v>
      </c>
      <c r="I27" s="108"/>
      <c r="J27" s="108"/>
      <c r="K27" s="112"/>
      <c r="L27" s="112"/>
      <c r="M27" s="112"/>
      <c r="N27" s="108"/>
      <c r="O27" s="108"/>
      <c r="P27" s="108"/>
      <c r="Q27" s="108"/>
      <c r="R27" s="109"/>
      <c r="S27" s="109"/>
      <c r="T27" s="122">
        <f t="shared" si="2"/>
        <v>0</v>
      </c>
      <c r="U27" s="128">
        <f t="shared" si="3"/>
        <v>1700000</v>
      </c>
    </row>
    <row r="28" spans="1:23" x14ac:dyDescent="0.25">
      <c r="A28" s="70" t="s">
        <v>87</v>
      </c>
      <c r="B28" s="71"/>
      <c r="C28" s="71"/>
      <c r="D28" s="71"/>
      <c r="E28" s="71"/>
      <c r="F28" s="120"/>
      <c r="G28" s="120">
        <f t="shared" si="1"/>
        <v>0</v>
      </c>
      <c r="H28" s="108">
        <v>0</v>
      </c>
      <c r="I28" s="108"/>
      <c r="J28" s="108"/>
      <c r="K28" s="112"/>
      <c r="L28" s="112"/>
      <c r="M28" s="112"/>
      <c r="N28" s="108"/>
      <c r="O28" s="108"/>
      <c r="P28" s="108"/>
      <c r="Q28" s="108"/>
      <c r="R28" s="109"/>
      <c r="S28" s="109"/>
      <c r="T28" s="122">
        <f t="shared" si="2"/>
        <v>0</v>
      </c>
      <c r="U28" s="123">
        <f t="shared" si="3"/>
        <v>0</v>
      </c>
    </row>
    <row r="29" spans="1:23" x14ac:dyDescent="0.25">
      <c r="A29" s="70" t="s">
        <v>88</v>
      </c>
      <c r="B29" s="71"/>
      <c r="C29" s="71"/>
      <c r="D29" s="71"/>
      <c r="E29" s="71"/>
      <c r="F29" s="120">
        <v>600000</v>
      </c>
      <c r="G29" s="120">
        <f t="shared" si="1"/>
        <v>50000</v>
      </c>
      <c r="H29" s="121">
        <v>22864</v>
      </c>
      <c r="I29" s="108"/>
      <c r="J29" s="108"/>
      <c r="K29" s="112"/>
      <c r="L29" s="112"/>
      <c r="M29" s="112"/>
      <c r="N29" s="108"/>
      <c r="O29" s="108"/>
      <c r="P29" s="108"/>
      <c r="Q29" s="108"/>
      <c r="R29" s="109"/>
      <c r="S29" s="109"/>
      <c r="T29" s="110">
        <f t="shared" si="2"/>
        <v>22864</v>
      </c>
      <c r="U29" s="128">
        <f t="shared" si="3"/>
        <v>577136</v>
      </c>
    </row>
    <row r="30" spans="1:23" x14ac:dyDescent="0.25">
      <c r="A30" s="70" t="s">
        <v>45</v>
      </c>
      <c r="B30" s="71"/>
      <c r="C30" s="71"/>
      <c r="D30" s="71"/>
      <c r="E30" s="71"/>
      <c r="F30" s="120">
        <v>250000</v>
      </c>
      <c r="G30" s="120">
        <f t="shared" si="1"/>
        <v>20833.333333333332</v>
      </c>
      <c r="H30" s="121">
        <v>11304</v>
      </c>
      <c r="I30" s="108"/>
      <c r="J30" s="108"/>
      <c r="K30" s="108"/>
      <c r="L30" s="108"/>
      <c r="M30" s="108"/>
      <c r="N30" s="108"/>
      <c r="O30" s="108"/>
      <c r="P30" s="108"/>
      <c r="Q30" s="108"/>
      <c r="R30" s="109"/>
      <c r="S30" s="109"/>
      <c r="T30" s="110">
        <f t="shared" si="2"/>
        <v>11304</v>
      </c>
      <c r="U30" s="123">
        <f t="shared" si="3"/>
        <v>238696</v>
      </c>
    </row>
    <row r="31" spans="1:23" x14ac:dyDescent="0.25">
      <c r="A31" s="70" t="s">
        <v>89</v>
      </c>
      <c r="B31" s="71"/>
      <c r="C31" s="71"/>
      <c r="D31" s="71"/>
      <c r="E31" s="71"/>
      <c r="F31" s="120">
        <v>719200</v>
      </c>
      <c r="G31" s="120">
        <f t="shared" si="1"/>
        <v>59933.333333333336</v>
      </c>
      <c r="H31" s="108">
        <v>0</v>
      </c>
      <c r="I31" s="108"/>
      <c r="J31" s="108"/>
      <c r="K31" s="108"/>
      <c r="L31" s="108"/>
      <c r="M31" s="108"/>
      <c r="N31" s="108"/>
      <c r="O31" s="108"/>
      <c r="P31" s="108"/>
      <c r="Q31" s="108"/>
      <c r="R31" s="109"/>
      <c r="S31" s="109"/>
      <c r="T31" s="110">
        <f t="shared" si="2"/>
        <v>0</v>
      </c>
      <c r="U31" s="128">
        <f t="shared" si="3"/>
        <v>719200</v>
      </c>
    </row>
    <row r="32" spans="1:23" x14ac:dyDescent="0.25">
      <c r="A32" s="70" t="s">
        <v>47</v>
      </c>
      <c r="B32" s="71"/>
      <c r="C32" s="71"/>
      <c r="D32" s="71"/>
      <c r="E32" s="71"/>
      <c r="F32" s="120">
        <v>1473800</v>
      </c>
      <c r="G32" s="120">
        <f t="shared" si="1"/>
        <v>122816.66666666667</v>
      </c>
      <c r="H32" s="108">
        <v>0</v>
      </c>
      <c r="I32" s="108"/>
      <c r="J32" s="108"/>
      <c r="K32" s="112"/>
      <c r="L32" s="112"/>
      <c r="M32" s="112"/>
      <c r="N32" s="108"/>
      <c r="O32" s="108"/>
      <c r="P32" s="108"/>
      <c r="Q32" s="108"/>
      <c r="R32" s="109"/>
      <c r="S32" s="109"/>
      <c r="T32" s="122">
        <f t="shared" si="2"/>
        <v>0</v>
      </c>
      <c r="U32" s="128">
        <f t="shared" si="3"/>
        <v>1473800</v>
      </c>
      <c r="V32" s="85"/>
      <c r="W32" s="85"/>
    </row>
    <row r="33" spans="1:21" ht="15.75" x14ac:dyDescent="0.25">
      <c r="A33" s="130" t="s">
        <v>90</v>
      </c>
      <c r="B33" s="98"/>
      <c r="C33" s="71"/>
      <c r="D33" s="71"/>
      <c r="E33" s="71"/>
      <c r="F33" s="131">
        <f>SUM(F12:F32)</f>
        <v>30950000</v>
      </c>
      <c r="G33" s="131">
        <f>SUM(G12:G32)</f>
        <v>2579166.6666666665</v>
      </c>
      <c r="H33" s="131">
        <f>SUM(H12:H32)</f>
        <v>2203329</v>
      </c>
      <c r="I33" s="108">
        <f t="shared" ref="I33:T33" si="4">SUM(I12:I32)</f>
        <v>0</v>
      </c>
      <c r="J33" s="108">
        <f t="shared" si="4"/>
        <v>0</v>
      </c>
      <c r="K33" s="108">
        <f t="shared" si="4"/>
        <v>0</v>
      </c>
      <c r="L33" s="108">
        <f t="shared" si="4"/>
        <v>0</v>
      </c>
      <c r="M33" s="108">
        <f t="shared" si="4"/>
        <v>0</v>
      </c>
      <c r="N33" s="108">
        <f t="shared" si="4"/>
        <v>0</v>
      </c>
      <c r="O33" s="108">
        <f t="shared" si="4"/>
        <v>0</v>
      </c>
      <c r="P33" s="108">
        <f t="shared" si="4"/>
        <v>0</v>
      </c>
      <c r="Q33" s="108">
        <f t="shared" si="4"/>
        <v>0</v>
      </c>
      <c r="R33" s="109">
        <f t="shared" si="4"/>
        <v>0</v>
      </c>
      <c r="S33" s="109">
        <f t="shared" si="4"/>
        <v>0</v>
      </c>
      <c r="T33" s="110">
        <f t="shared" si="4"/>
        <v>2203329</v>
      </c>
      <c r="U33" s="123">
        <f>SUM(U12:U32)</f>
        <v>28746671</v>
      </c>
    </row>
    <row r="35" spans="1:21" x14ac:dyDescent="0.25">
      <c r="Q35" s="132"/>
    </row>
    <row r="37" spans="1:21" x14ac:dyDescent="0.25">
      <c r="T37" s="111"/>
    </row>
    <row r="40" spans="1:21" x14ac:dyDescent="0.25">
      <c r="O40" s="85"/>
    </row>
  </sheetData>
  <mergeCells count="1">
    <mergeCell ref="F2:F3"/>
  </mergeCells>
  <phoneticPr fontId="22" type="noConversion"/>
  <pageMargins left="0.70866141732283472" right="0.70866141732283472" top="0" bottom="0" header="0" footer="0"/>
  <pageSetup paperSize="9" firstPageNumber="4294967295" orientation="landscape" verticalDpi="18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103"/>
  <sheetViews>
    <sheetView zoomScale="115" workbookViewId="0">
      <selection activeCell="M11" sqref="M11"/>
    </sheetView>
  </sheetViews>
  <sheetFormatPr defaultRowHeight="15" x14ac:dyDescent="0.25"/>
  <cols>
    <col min="1" max="1" width="36" style="94" customWidth="1"/>
    <col min="2" max="2" width="12.7109375" style="96" bestFit="1" customWidth="1"/>
    <col min="3" max="3" width="9.140625" style="96" bestFit="1" customWidth="1"/>
    <col min="4" max="4" width="9.28515625" style="96" bestFit="1" customWidth="1"/>
    <col min="5" max="5" width="9.42578125" style="96" bestFit="1" customWidth="1"/>
    <col min="6" max="7" width="9.28515625" style="96" bestFit="1" customWidth="1"/>
    <col min="8" max="8" width="10.28515625" style="96" bestFit="1" customWidth="1"/>
    <col min="9" max="9" width="9.28515625" style="96" bestFit="1" customWidth="1"/>
    <col min="10" max="11" width="10.28515625" style="96" bestFit="1" customWidth="1"/>
    <col min="12" max="12" width="9.28515625" style="96" bestFit="1" customWidth="1"/>
    <col min="13" max="13" width="11.85546875" style="96" bestFit="1" customWidth="1"/>
    <col min="14" max="14" width="10.28515625" style="95" bestFit="1" customWidth="1"/>
  </cols>
  <sheetData>
    <row r="1" spans="1:14" x14ac:dyDescent="0.25">
      <c r="A1" s="133" t="s">
        <v>28</v>
      </c>
      <c r="B1" s="189" t="str">
        <f>'ВСЕ затраты'!B1</f>
        <v>2023-2024гг.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36"/>
    </row>
    <row r="2" spans="1:14" x14ac:dyDescent="0.25">
      <c r="A2" s="137"/>
      <c r="B2" s="179" t="s">
        <v>9</v>
      </c>
      <c r="C2" s="185" t="s">
        <v>14</v>
      </c>
      <c r="D2" s="190" t="s">
        <v>15</v>
      </c>
      <c r="E2" s="185" t="s">
        <v>16</v>
      </c>
      <c r="F2" s="185" t="s">
        <v>17</v>
      </c>
      <c r="G2" s="185" t="s">
        <v>18</v>
      </c>
      <c r="H2" s="185" t="s">
        <v>19</v>
      </c>
      <c r="I2" s="185" t="s">
        <v>4</v>
      </c>
      <c r="J2" s="185" t="s">
        <v>5</v>
      </c>
      <c r="K2" s="185" t="s">
        <v>6</v>
      </c>
      <c r="L2" s="185" t="s">
        <v>7</v>
      </c>
      <c r="M2" s="185" t="s">
        <v>8</v>
      </c>
      <c r="N2" s="141" t="s">
        <v>91</v>
      </c>
    </row>
    <row r="3" spans="1:14" x14ac:dyDescent="0.25">
      <c r="A3" s="146" t="s">
        <v>92</v>
      </c>
      <c r="B3" s="335">
        <v>11000</v>
      </c>
      <c r="C3" s="335">
        <v>11000</v>
      </c>
      <c r="D3" s="336">
        <v>11000</v>
      </c>
      <c r="E3" s="335">
        <v>11000</v>
      </c>
      <c r="F3" s="335">
        <v>11000</v>
      </c>
      <c r="G3" s="335">
        <f>11000+11000</f>
        <v>22000</v>
      </c>
      <c r="H3" s="335">
        <v>11000</v>
      </c>
      <c r="I3" s="335">
        <v>11000</v>
      </c>
      <c r="J3" s="335">
        <v>11000</v>
      </c>
      <c r="K3" s="335">
        <v>11000</v>
      </c>
      <c r="L3" s="335">
        <v>11000</v>
      </c>
      <c r="M3" s="335">
        <v>11000</v>
      </c>
      <c r="N3" s="145">
        <f t="shared" ref="N3:N19" si="0">SUM(B3:M3)</f>
        <v>143000</v>
      </c>
    </row>
    <row r="4" spans="1:14" x14ac:dyDescent="0.25">
      <c r="A4" s="146" t="s">
        <v>93</v>
      </c>
      <c r="B4" s="335">
        <v>6000</v>
      </c>
      <c r="C4" s="337">
        <f>6000+6000</f>
        <v>12000</v>
      </c>
      <c r="D4" s="338"/>
      <c r="E4" s="337">
        <v>6000</v>
      </c>
      <c r="F4" s="337">
        <v>6000</v>
      </c>
      <c r="G4" s="337">
        <v>6000</v>
      </c>
      <c r="H4" s="337">
        <v>6000</v>
      </c>
      <c r="I4" s="337">
        <v>6000</v>
      </c>
      <c r="J4" s="337">
        <v>6000</v>
      </c>
      <c r="K4" s="337">
        <v>6000</v>
      </c>
      <c r="L4" s="337">
        <v>9000</v>
      </c>
      <c r="M4" s="337">
        <v>9000</v>
      </c>
      <c r="N4" s="145">
        <f t="shared" si="0"/>
        <v>78000</v>
      </c>
    </row>
    <row r="5" spans="1:14" x14ac:dyDescent="0.25">
      <c r="A5" s="146" t="s">
        <v>94</v>
      </c>
      <c r="B5" s="335">
        <v>6409.55</v>
      </c>
      <c r="C5" s="335">
        <v>9568.99</v>
      </c>
      <c r="D5" s="335">
        <v>2203.1799999999998</v>
      </c>
      <c r="E5" s="335">
        <v>9206.43</v>
      </c>
      <c r="F5" s="335">
        <v>7624.79</v>
      </c>
      <c r="G5" s="335">
        <v>10051.68</v>
      </c>
      <c r="H5" s="335">
        <f>8551.65+1299.16</f>
        <v>9850.81</v>
      </c>
      <c r="I5" s="335">
        <v>10270.91</v>
      </c>
      <c r="J5" s="335">
        <v>8472.6299999999992</v>
      </c>
      <c r="K5" s="335">
        <v>8063.81</v>
      </c>
      <c r="L5" s="335">
        <v>8041.15</v>
      </c>
      <c r="M5" s="335">
        <v>9346.48</v>
      </c>
      <c r="N5" s="145">
        <f t="shared" si="0"/>
        <v>99110.409999999989</v>
      </c>
    </row>
    <row r="6" spans="1:14" x14ac:dyDescent="0.25">
      <c r="A6" s="146" t="s">
        <v>119</v>
      </c>
      <c r="B6" s="179"/>
      <c r="C6" s="179"/>
      <c r="D6" s="179"/>
      <c r="E6" s="179">
        <v>13230</v>
      </c>
      <c r="F6" s="179"/>
      <c r="G6" s="179">
        <v>16095</v>
      </c>
      <c r="H6" s="179"/>
      <c r="I6" s="179"/>
      <c r="J6" s="179">
        <v>24638</v>
      </c>
      <c r="K6" s="179"/>
      <c r="L6" s="179"/>
      <c r="M6" s="179">
        <v>24485</v>
      </c>
      <c r="N6" s="145">
        <f t="shared" si="0"/>
        <v>78448</v>
      </c>
    </row>
    <row r="7" spans="1:14" x14ac:dyDescent="0.25">
      <c r="A7" s="149" t="s">
        <v>97</v>
      </c>
      <c r="B7" s="179"/>
      <c r="C7" s="181"/>
      <c r="D7" s="183"/>
      <c r="E7" s="181">
        <v>1200</v>
      </c>
      <c r="F7" s="181"/>
      <c r="G7" s="181"/>
      <c r="H7" s="181">
        <v>1200</v>
      </c>
      <c r="I7" s="181"/>
      <c r="J7" s="181"/>
      <c r="K7" s="181">
        <v>1400</v>
      </c>
      <c r="L7" s="181"/>
      <c r="M7" s="181"/>
      <c r="N7" s="145">
        <f t="shared" si="0"/>
        <v>3800</v>
      </c>
    </row>
    <row r="8" spans="1:14" x14ac:dyDescent="0.25">
      <c r="A8" s="148" t="s">
        <v>98</v>
      </c>
      <c r="B8" s="179"/>
      <c r="C8" s="179">
        <v>852</v>
      </c>
      <c r="D8" s="180"/>
      <c r="E8" s="179">
        <f>3192+780</f>
        <v>3972</v>
      </c>
      <c r="F8" s="179"/>
      <c r="G8" s="179"/>
      <c r="H8" s="179">
        <f>290+741+165+599</f>
        <v>1795</v>
      </c>
      <c r="I8" s="179">
        <v>4015.72</v>
      </c>
      <c r="J8" s="179"/>
      <c r="K8" s="179"/>
      <c r="L8" s="179">
        <f>173+269</f>
        <v>442</v>
      </c>
      <c r="M8" s="179">
        <v>750</v>
      </c>
      <c r="N8" s="145">
        <f t="shared" si="0"/>
        <v>11826.72</v>
      </c>
    </row>
    <row r="9" spans="1:14" x14ac:dyDescent="0.25">
      <c r="A9" s="150" t="s">
        <v>143</v>
      </c>
      <c r="B9" s="179">
        <f>946+1243+1744+392+864</f>
        <v>5189</v>
      </c>
      <c r="C9" s="181">
        <v>331</v>
      </c>
      <c r="D9" s="183"/>
      <c r="E9" s="181">
        <f>199.99+566</f>
        <v>765.99</v>
      </c>
      <c r="F9" s="181">
        <f>314+448+273</f>
        <v>1035</v>
      </c>
      <c r="G9" s="181">
        <f>158+189.99+150+581</f>
        <v>1078.99</v>
      </c>
      <c r="H9" s="181">
        <f>741+99</f>
        <v>840</v>
      </c>
      <c r="I9" s="181">
        <v>612</v>
      </c>
      <c r="J9" s="181"/>
      <c r="K9" s="181">
        <v>527</v>
      </c>
      <c r="L9" s="181">
        <f>344+189.99+349</f>
        <v>882.99</v>
      </c>
      <c r="M9" s="181"/>
      <c r="N9" s="145">
        <f t="shared" si="0"/>
        <v>11261.97</v>
      </c>
    </row>
    <row r="10" spans="1:14" x14ac:dyDescent="0.25">
      <c r="A10" s="148" t="s">
        <v>99</v>
      </c>
      <c r="B10" s="179">
        <f>27+258.11+27+403.01</f>
        <v>715.12</v>
      </c>
      <c r="C10" s="181"/>
      <c r="D10" s="183"/>
      <c r="E10" s="181">
        <f>54+105.5+376.05+376.05+376.05+106+376</f>
        <v>1769.6499999999999</v>
      </c>
      <c r="F10" s="181">
        <f>31+54+403.84</f>
        <v>488.84</v>
      </c>
      <c r="G10" s="181">
        <f>408.36+32</f>
        <v>440.36</v>
      </c>
      <c r="H10" s="181">
        <f>3779.65-H8-H9</f>
        <v>1144.6500000000001</v>
      </c>
      <c r="I10" s="181">
        <f>303.04+303.04+32</f>
        <v>638.08000000000004</v>
      </c>
      <c r="J10" s="181">
        <f>414.01+27+135+135</f>
        <v>711.01</v>
      </c>
      <c r="K10" s="181">
        <f>135+43+31+31+414-0.07</f>
        <v>653.92999999999995</v>
      </c>
      <c r="L10" s="181">
        <f>312.04+62+125</f>
        <v>499.04</v>
      </c>
      <c r="M10" s="181">
        <f>316.31+414.01+62+165+62+139.38</f>
        <v>1158.6999999999998</v>
      </c>
      <c r="N10" s="145">
        <f t="shared" si="0"/>
        <v>8219.380000000001</v>
      </c>
    </row>
    <row r="11" spans="1:14" x14ac:dyDescent="0.25">
      <c r="A11" s="148" t="s">
        <v>134</v>
      </c>
      <c r="B11" s="179">
        <v>2100</v>
      </c>
      <c r="C11" s="181"/>
      <c r="D11" s="183">
        <v>6000</v>
      </c>
      <c r="E11" s="181">
        <f>6000</f>
        <v>6000</v>
      </c>
      <c r="F11" s="181">
        <f>12000+6000</f>
        <v>18000</v>
      </c>
      <c r="G11" s="181"/>
      <c r="H11" s="181">
        <v>12000</v>
      </c>
      <c r="I11" s="181"/>
      <c r="J11" s="181"/>
      <c r="K11" s="181">
        <v>6000</v>
      </c>
      <c r="L11" s="181">
        <f>1136</f>
        <v>1136</v>
      </c>
      <c r="M11" s="181">
        <v>3000</v>
      </c>
      <c r="N11" s="145">
        <f>SUM(B11:M11)</f>
        <v>54236</v>
      </c>
    </row>
    <row r="12" spans="1:14" x14ac:dyDescent="0.25">
      <c r="A12" s="150" t="s">
        <v>128</v>
      </c>
      <c r="B12" s="179">
        <f>3594</f>
        <v>3594</v>
      </c>
      <c r="C12" s="181"/>
      <c r="D12" s="183">
        <v>2800</v>
      </c>
      <c r="E12" s="181"/>
      <c r="F12" s="181"/>
      <c r="G12" s="181">
        <v>640</v>
      </c>
      <c r="H12" s="181">
        <f>1400+1400</f>
        <v>2800</v>
      </c>
      <c r="I12" s="181">
        <v>2100</v>
      </c>
      <c r="J12" s="181">
        <v>814</v>
      </c>
      <c r="K12" s="181">
        <v>695</v>
      </c>
      <c r="L12" s="181"/>
      <c r="M12" s="181"/>
      <c r="N12" s="145">
        <f t="shared" si="0"/>
        <v>13443</v>
      </c>
    </row>
    <row r="13" spans="1:14" x14ac:dyDescent="0.25">
      <c r="A13" s="150" t="s">
        <v>155</v>
      </c>
      <c r="B13" s="179">
        <v>21750</v>
      </c>
      <c r="C13" s="181"/>
      <c r="D13" s="183"/>
      <c r="E13" s="181"/>
      <c r="F13" s="181"/>
      <c r="G13" s="181"/>
      <c r="H13" s="181"/>
      <c r="I13" s="181"/>
      <c r="J13" s="181"/>
      <c r="K13" s="181"/>
      <c r="L13" s="181"/>
      <c r="M13" s="181"/>
      <c r="N13" s="145">
        <f t="shared" si="0"/>
        <v>21750</v>
      </c>
    </row>
    <row r="14" spans="1:14" ht="26.25" x14ac:dyDescent="0.25">
      <c r="A14" s="150" t="s">
        <v>160</v>
      </c>
      <c r="B14" s="179">
        <v>9265</v>
      </c>
      <c r="C14" s="181"/>
      <c r="D14" s="183"/>
      <c r="E14" s="181"/>
      <c r="F14" s="181"/>
      <c r="G14" s="181"/>
      <c r="H14" s="181"/>
      <c r="I14" s="181"/>
      <c r="J14" s="181"/>
      <c r="K14" s="181"/>
      <c r="L14" s="181"/>
      <c r="M14" s="181"/>
      <c r="N14" s="145">
        <f t="shared" si="0"/>
        <v>9265</v>
      </c>
    </row>
    <row r="15" spans="1:14" x14ac:dyDescent="0.25">
      <c r="A15" s="150" t="s">
        <v>165</v>
      </c>
      <c r="B15" s="179">
        <v>900</v>
      </c>
      <c r="C15" s="181"/>
      <c r="D15" s="183"/>
      <c r="E15" s="181">
        <v>2700</v>
      </c>
      <c r="F15" s="181"/>
      <c r="G15" s="181"/>
      <c r="H15" s="181"/>
      <c r="I15" s="181"/>
      <c r="J15" s="181"/>
      <c r="K15" s="181"/>
      <c r="L15" s="181"/>
      <c r="M15" s="181"/>
      <c r="N15" s="145">
        <f t="shared" si="0"/>
        <v>3600</v>
      </c>
    </row>
    <row r="16" spans="1:14" x14ac:dyDescent="0.25">
      <c r="A16" s="150" t="s">
        <v>170</v>
      </c>
      <c r="B16" s="179">
        <v>1280</v>
      </c>
      <c r="C16" s="181"/>
      <c r="D16" s="183"/>
      <c r="E16" s="181"/>
      <c r="F16" s="181"/>
      <c r="G16" s="181"/>
      <c r="H16" s="181"/>
      <c r="I16" s="181"/>
      <c r="J16" s="181"/>
      <c r="K16" s="181"/>
      <c r="L16" s="181"/>
      <c r="M16" s="181"/>
      <c r="N16" s="145">
        <f t="shared" si="0"/>
        <v>1280</v>
      </c>
    </row>
    <row r="17" spans="1:14" x14ac:dyDescent="0.25">
      <c r="A17" s="150" t="s">
        <v>171</v>
      </c>
      <c r="B17" s="179">
        <v>948</v>
      </c>
      <c r="C17" s="181"/>
      <c r="D17" s="183"/>
      <c r="E17" s="181"/>
      <c r="F17" s="181"/>
      <c r="G17" s="181"/>
      <c r="H17" s="181"/>
      <c r="I17" s="181"/>
      <c r="J17" s="181"/>
      <c r="K17" s="181"/>
      <c r="L17" s="181"/>
      <c r="M17" s="181"/>
      <c r="N17" s="145">
        <f t="shared" si="0"/>
        <v>948</v>
      </c>
    </row>
    <row r="18" spans="1:14" x14ac:dyDescent="0.25">
      <c r="A18" s="150" t="s">
        <v>172</v>
      </c>
      <c r="B18" s="179">
        <v>245.14</v>
      </c>
      <c r="C18" s="181"/>
      <c r="D18" s="183"/>
      <c r="E18" s="181"/>
      <c r="F18" s="181"/>
      <c r="G18" s="181"/>
      <c r="H18" s="181"/>
      <c r="I18" s="181"/>
      <c r="J18" s="181"/>
      <c r="K18" s="181"/>
      <c r="L18" s="181"/>
      <c r="M18" s="181"/>
      <c r="N18" s="145">
        <f t="shared" si="0"/>
        <v>245.14</v>
      </c>
    </row>
    <row r="19" spans="1:14" x14ac:dyDescent="0.25">
      <c r="A19" s="150" t="s">
        <v>173</v>
      </c>
      <c r="B19" s="179">
        <v>72</v>
      </c>
      <c r="C19" s="181"/>
      <c r="D19" s="183"/>
      <c r="E19" s="181"/>
      <c r="F19" s="181"/>
      <c r="G19" s="181"/>
      <c r="H19" s="181"/>
      <c r="I19" s="181"/>
      <c r="J19" s="181"/>
      <c r="K19" s="181"/>
      <c r="L19" s="181"/>
      <c r="M19" s="181"/>
      <c r="N19" s="145">
        <f t="shared" si="0"/>
        <v>72</v>
      </c>
    </row>
    <row r="20" spans="1:14" x14ac:dyDescent="0.25">
      <c r="A20" s="150" t="s">
        <v>191</v>
      </c>
      <c r="B20" s="179"/>
      <c r="C20" s="181">
        <v>12000</v>
      </c>
      <c r="D20" s="183"/>
      <c r="E20" s="181"/>
      <c r="F20" s="181"/>
      <c r="G20" s="181"/>
      <c r="H20" s="181"/>
      <c r="I20" s="181"/>
      <c r="J20" s="181"/>
      <c r="K20" s="181"/>
      <c r="L20" s="181"/>
      <c r="M20" s="181"/>
      <c r="N20" s="145">
        <f t="shared" ref="N20:N40" si="1">SUM(B20:M20)</f>
        <v>12000</v>
      </c>
    </row>
    <row r="21" spans="1:14" x14ac:dyDescent="0.25">
      <c r="A21" s="150" t="s">
        <v>197</v>
      </c>
      <c r="B21" s="179"/>
      <c r="C21" s="181">
        <v>3488</v>
      </c>
      <c r="D21" s="183"/>
      <c r="E21" s="181"/>
      <c r="F21" s="181"/>
      <c r="G21" s="181"/>
      <c r="H21" s="181"/>
      <c r="I21" s="181"/>
      <c r="J21" s="181"/>
      <c r="K21" s="181"/>
      <c r="L21" s="181"/>
      <c r="M21" s="181"/>
      <c r="N21" s="145">
        <f t="shared" si="1"/>
        <v>3488</v>
      </c>
    </row>
    <row r="22" spans="1:14" x14ac:dyDescent="0.25">
      <c r="A22" s="150" t="s">
        <v>209</v>
      </c>
      <c r="B22" s="179"/>
      <c r="C22" s="181"/>
      <c r="D22" s="183">
        <v>15800</v>
      </c>
      <c r="E22" s="181"/>
      <c r="F22" s="181"/>
      <c r="G22" s="181"/>
      <c r="H22" s="181"/>
      <c r="I22" s="181"/>
      <c r="J22" s="181"/>
      <c r="K22" s="181"/>
      <c r="L22" s="181"/>
      <c r="M22" s="181"/>
      <c r="N22" s="145">
        <f t="shared" si="1"/>
        <v>15800</v>
      </c>
    </row>
    <row r="23" spans="1:14" x14ac:dyDescent="0.25">
      <c r="A23" s="150" t="s">
        <v>210</v>
      </c>
      <c r="B23" s="179"/>
      <c r="C23" s="181"/>
      <c r="D23" s="183">
        <v>3000</v>
      </c>
      <c r="E23" s="181"/>
      <c r="F23" s="181"/>
      <c r="G23" s="181"/>
      <c r="H23" s="181"/>
      <c r="I23" s="181"/>
      <c r="J23" s="181"/>
      <c r="K23" s="181"/>
      <c r="L23" s="181"/>
      <c r="M23" s="181"/>
      <c r="N23" s="145">
        <f t="shared" si="1"/>
        <v>3000</v>
      </c>
    </row>
    <row r="24" spans="1:14" x14ac:dyDescent="0.25">
      <c r="A24" s="150" t="s">
        <v>217</v>
      </c>
      <c r="B24" s="179"/>
      <c r="C24" s="181"/>
      <c r="D24" s="183">
        <v>660</v>
      </c>
      <c r="E24" s="181"/>
      <c r="F24" s="181"/>
      <c r="G24" s="181"/>
      <c r="H24" s="181"/>
      <c r="I24" s="181"/>
      <c r="J24" s="181"/>
      <c r="K24" s="181"/>
      <c r="L24" s="181"/>
      <c r="M24" s="181"/>
      <c r="N24" s="145">
        <f t="shared" si="1"/>
        <v>660</v>
      </c>
    </row>
    <row r="25" spans="1:14" x14ac:dyDescent="0.25">
      <c r="A25" s="150" t="s">
        <v>236</v>
      </c>
      <c r="B25" s="179"/>
      <c r="C25" s="181"/>
      <c r="D25" s="183">
        <v>1000</v>
      </c>
      <c r="E25" s="181"/>
      <c r="F25" s="181"/>
      <c r="G25" s="181"/>
      <c r="H25" s="181"/>
      <c r="I25" s="181"/>
      <c r="J25" s="181"/>
      <c r="K25" s="181"/>
      <c r="L25" s="181"/>
      <c r="M25" s="181"/>
      <c r="N25" s="145">
        <f t="shared" si="1"/>
        <v>1000</v>
      </c>
    </row>
    <row r="26" spans="1:14" x14ac:dyDescent="0.25">
      <c r="A26" s="150" t="s">
        <v>239</v>
      </c>
      <c r="B26" s="179"/>
      <c r="C26" s="181"/>
      <c r="D26" s="183"/>
      <c r="E26" s="181">
        <v>3582</v>
      </c>
      <c r="F26" s="181"/>
      <c r="G26" s="181">
        <f>857.88+4206.44+3657.97+3657.97+4206.44</f>
        <v>16586.699999999997</v>
      </c>
      <c r="H26" s="181">
        <f>11618.36+2000+3657.97+857.88</f>
        <v>18134.210000000003</v>
      </c>
      <c r="I26" s="181"/>
      <c r="J26" s="181">
        <f>19837+7315.94</f>
        <v>27152.94</v>
      </c>
      <c r="K26" s="181"/>
      <c r="L26" s="181"/>
      <c r="M26" s="181"/>
      <c r="N26" s="145">
        <f t="shared" si="1"/>
        <v>65455.850000000006</v>
      </c>
    </row>
    <row r="27" spans="1:14" x14ac:dyDescent="0.25">
      <c r="A27" s="150" t="s">
        <v>240</v>
      </c>
      <c r="B27" s="179"/>
      <c r="C27" s="181"/>
      <c r="D27" s="183"/>
      <c r="E27" s="181">
        <v>23190</v>
      </c>
      <c r="F27" s="181"/>
      <c r="G27" s="181">
        <f>1794+6300</f>
        <v>8094</v>
      </c>
      <c r="H27" s="181"/>
      <c r="I27" s="181"/>
      <c r="J27" s="181"/>
      <c r="K27" s="181">
        <f>16680+68611.1</f>
        <v>85291.1</v>
      </c>
      <c r="L27" s="181"/>
      <c r="M27" s="181"/>
      <c r="N27" s="145">
        <f t="shared" si="1"/>
        <v>116575.1</v>
      </c>
    </row>
    <row r="28" spans="1:14" x14ac:dyDescent="0.25">
      <c r="A28" s="150" t="s">
        <v>242</v>
      </c>
      <c r="B28" s="179"/>
      <c r="C28" s="181"/>
      <c r="D28" s="183"/>
      <c r="E28" s="181">
        <v>8240</v>
      </c>
      <c r="F28" s="181"/>
      <c r="G28" s="181"/>
      <c r="H28" s="181"/>
      <c r="I28" s="181"/>
      <c r="J28" s="181"/>
      <c r="K28" s="181"/>
      <c r="L28" s="181"/>
      <c r="M28" s="181"/>
      <c r="N28" s="145">
        <f t="shared" si="1"/>
        <v>8240</v>
      </c>
    </row>
    <row r="29" spans="1:14" x14ac:dyDescent="0.25">
      <c r="A29" s="150" t="s">
        <v>244</v>
      </c>
      <c r="B29" s="179"/>
      <c r="C29" s="181"/>
      <c r="D29" s="183"/>
      <c r="E29" s="181">
        <f>323+294</f>
        <v>617</v>
      </c>
      <c r="F29" s="181"/>
      <c r="G29" s="181"/>
      <c r="H29" s="181"/>
      <c r="I29" s="181"/>
      <c r="J29" s="181"/>
      <c r="K29" s="181"/>
      <c r="L29" s="181"/>
      <c r="M29" s="181"/>
      <c r="N29" s="145">
        <f t="shared" si="1"/>
        <v>617</v>
      </c>
    </row>
    <row r="30" spans="1:14" x14ac:dyDescent="0.25">
      <c r="A30" s="150" t="s">
        <v>245</v>
      </c>
      <c r="B30" s="179"/>
      <c r="C30" s="181"/>
      <c r="D30" s="183"/>
      <c r="E30" s="181">
        <v>505</v>
      </c>
      <c r="F30" s="181"/>
      <c r="G30" s="181"/>
      <c r="H30" s="181"/>
      <c r="I30" s="181"/>
      <c r="J30" s="181"/>
      <c r="K30" s="181"/>
      <c r="L30" s="181"/>
      <c r="M30" s="181"/>
      <c r="N30" s="145">
        <f t="shared" si="1"/>
        <v>505</v>
      </c>
    </row>
    <row r="31" spans="1:14" x14ac:dyDescent="0.25">
      <c r="A31" s="150" t="s">
        <v>248</v>
      </c>
      <c r="B31" s="179"/>
      <c r="C31" s="181"/>
      <c r="D31" s="183"/>
      <c r="E31" s="181">
        <v>140</v>
      </c>
      <c r="F31" s="181"/>
      <c r="G31" s="181"/>
      <c r="H31" s="181"/>
      <c r="I31" s="181"/>
      <c r="J31" s="181"/>
      <c r="K31" s="181"/>
      <c r="L31" s="181"/>
      <c r="M31" s="181"/>
      <c r="N31" s="145">
        <f t="shared" si="1"/>
        <v>140</v>
      </c>
    </row>
    <row r="32" spans="1:14" x14ac:dyDescent="0.25">
      <c r="A32" s="150" t="s">
        <v>249</v>
      </c>
      <c r="B32" s="179"/>
      <c r="C32" s="181"/>
      <c r="D32" s="183"/>
      <c r="E32" s="181">
        <v>1800</v>
      </c>
      <c r="F32" s="181"/>
      <c r="G32" s="181"/>
      <c r="H32" s="181"/>
      <c r="I32" s="181"/>
      <c r="J32" s="181"/>
      <c r="K32" s="181"/>
      <c r="L32" s="181"/>
      <c r="M32" s="181"/>
      <c r="N32" s="145">
        <f t="shared" si="1"/>
        <v>1800</v>
      </c>
    </row>
    <row r="33" spans="1:14" x14ac:dyDescent="0.25">
      <c r="A33" s="150" t="s">
        <v>250</v>
      </c>
      <c r="B33" s="179"/>
      <c r="C33" s="181"/>
      <c r="D33" s="183"/>
      <c r="E33" s="181">
        <v>315</v>
      </c>
      <c r="F33" s="181"/>
      <c r="G33" s="181"/>
      <c r="H33" s="181"/>
      <c r="I33" s="181"/>
      <c r="J33" s="181"/>
      <c r="K33" s="181"/>
      <c r="L33" s="181"/>
      <c r="M33" s="181"/>
      <c r="N33" s="145">
        <f t="shared" si="1"/>
        <v>315</v>
      </c>
    </row>
    <row r="34" spans="1:14" x14ac:dyDescent="0.25">
      <c r="A34" s="150" t="s">
        <v>252</v>
      </c>
      <c r="B34" s="179"/>
      <c r="C34" s="181"/>
      <c r="D34" s="183"/>
      <c r="E34" s="181">
        <v>2080</v>
      </c>
      <c r="F34" s="181"/>
      <c r="G34" s="181"/>
      <c r="H34" s="181"/>
      <c r="I34" s="181"/>
      <c r="J34" s="181"/>
      <c r="K34" s="181"/>
      <c r="L34" s="181"/>
      <c r="M34" s="181"/>
      <c r="N34" s="145">
        <f t="shared" si="1"/>
        <v>2080</v>
      </c>
    </row>
    <row r="35" spans="1:14" x14ac:dyDescent="0.25">
      <c r="A35" s="150" t="s">
        <v>267</v>
      </c>
      <c r="B35" s="179"/>
      <c r="C35" s="181"/>
      <c r="D35" s="183"/>
      <c r="E35" s="181"/>
      <c r="F35" s="181">
        <v>14400</v>
      </c>
      <c r="G35" s="181"/>
      <c r="H35" s="181"/>
      <c r="I35" s="181"/>
      <c r="J35" s="181"/>
      <c r="K35" s="181"/>
      <c r="L35" s="181"/>
      <c r="M35" s="181"/>
      <c r="N35" s="145">
        <f t="shared" si="1"/>
        <v>14400</v>
      </c>
    </row>
    <row r="36" spans="1:14" x14ac:dyDescent="0.25">
      <c r="A36" s="150" t="s">
        <v>272</v>
      </c>
      <c r="B36" s="179"/>
      <c r="C36" s="181"/>
      <c r="D36" s="183"/>
      <c r="E36" s="181"/>
      <c r="F36" s="181">
        <v>2345</v>
      </c>
      <c r="G36" s="181"/>
      <c r="H36" s="181"/>
      <c r="I36" s="181"/>
      <c r="J36" s="181"/>
      <c r="K36" s="181"/>
      <c r="L36" s="181"/>
      <c r="M36" s="181"/>
      <c r="N36" s="145">
        <f t="shared" si="1"/>
        <v>2345</v>
      </c>
    </row>
    <row r="37" spans="1:14" x14ac:dyDescent="0.25">
      <c r="A37" s="362" t="s">
        <v>129</v>
      </c>
      <c r="B37" s="182"/>
      <c r="C37" s="182"/>
      <c r="D37" s="182"/>
      <c r="E37" s="182"/>
      <c r="F37" s="182">
        <v>1050</v>
      </c>
      <c r="G37" s="182"/>
      <c r="H37" s="182"/>
      <c r="I37" s="182"/>
      <c r="J37" s="182"/>
      <c r="K37" s="182"/>
      <c r="L37" s="182"/>
      <c r="M37" s="182"/>
      <c r="N37" s="145">
        <f t="shared" si="1"/>
        <v>1050</v>
      </c>
    </row>
    <row r="38" spans="1:14" x14ac:dyDescent="0.25">
      <c r="A38" s="362" t="s">
        <v>279</v>
      </c>
      <c r="B38" s="182"/>
      <c r="C38" s="182"/>
      <c r="D38" s="182"/>
      <c r="E38" s="182"/>
      <c r="F38" s="182">
        <v>700</v>
      </c>
      <c r="G38" s="182"/>
      <c r="H38" s="182"/>
      <c r="I38" s="182"/>
      <c r="J38" s="182"/>
      <c r="K38" s="182"/>
      <c r="L38" s="182"/>
      <c r="M38" s="182"/>
      <c r="N38" s="145">
        <f t="shared" si="1"/>
        <v>700</v>
      </c>
    </row>
    <row r="39" spans="1:14" x14ac:dyDescent="0.25">
      <c r="A39" s="362" t="s">
        <v>196</v>
      </c>
      <c r="B39" s="182"/>
      <c r="C39" s="182"/>
      <c r="D39" s="182"/>
      <c r="E39" s="182"/>
      <c r="F39" s="182">
        <v>1530</v>
      </c>
      <c r="G39" s="182"/>
      <c r="H39" s="182"/>
      <c r="I39" s="182"/>
      <c r="J39" s="182"/>
      <c r="K39" s="182"/>
      <c r="L39" s="182"/>
      <c r="M39" s="182"/>
      <c r="N39" s="145">
        <f t="shared" si="1"/>
        <v>1530</v>
      </c>
    </row>
    <row r="40" spans="1:14" x14ac:dyDescent="0.25">
      <c r="A40" s="362" t="s">
        <v>288</v>
      </c>
      <c r="B40" s="182"/>
      <c r="C40" s="182"/>
      <c r="D40" s="182"/>
      <c r="E40" s="182"/>
      <c r="F40" s="182">
        <v>720</v>
      </c>
      <c r="G40" s="182"/>
      <c r="H40" s="182"/>
      <c r="I40" s="182"/>
      <c r="J40" s="182"/>
      <c r="K40" s="182"/>
      <c r="L40" s="182"/>
      <c r="M40" s="182"/>
      <c r="N40" s="145">
        <f t="shared" si="1"/>
        <v>720</v>
      </c>
    </row>
    <row r="41" spans="1:14" x14ac:dyDescent="0.25">
      <c r="A41" s="362" t="s">
        <v>289</v>
      </c>
      <c r="B41" s="182"/>
      <c r="C41" s="182"/>
      <c r="D41" s="182"/>
      <c r="E41" s="182"/>
      <c r="F41" s="182">
        <v>708</v>
      </c>
      <c r="G41" s="182"/>
      <c r="H41" s="182"/>
      <c r="I41" s="182"/>
      <c r="J41" s="182"/>
      <c r="K41" s="182"/>
      <c r="L41" s="182"/>
      <c r="M41" s="182"/>
      <c r="N41" s="145">
        <f t="shared" ref="N41:N57" si="2">SUM(B41:M41)</f>
        <v>708</v>
      </c>
    </row>
    <row r="42" spans="1:14" x14ac:dyDescent="0.25">
      <c r="A42" s="362" t="s">
        <v>290</v>
      </c>
      <c r="B42" s="182"/>
      <c r="C42" s="182"/>
      <c r="D42" s="182"/>
      <c r="E42" s="182"/>
      <c r="F42" s="182">
        <v>1290</v>
      </c>
      <c r="G42" s="182"/>
      <c r="H42" s="182"/>
      <c r="I42" s="182"/>
      <c r="J42" s="182"/>
      <c r="K42" s="182"/>
      <c r="L42" s="182"/>
      <c r="M42" s="182"/>
      <c r="N42" s="145">
        <f t="shared" si="2"/>
        <v>1290</v>
      </c>
    </row>
    <row r="43" spans="1:14" x14ac:dyDescent="0.25">
      <c r="A43" s="177" t="s">
        <v>273</v>
      </c>
      <c r="B43" s="179"/>
      <c r="C43" s="179"/>
      <c r="D43" s="179"/>
      <c r="E43" s="179"/>
      <c r="F43" s="179">
        <v>2225</v>
      </c>
      <c r="G43" s="179"/>
      <c r="H43" s="179"/>
      <c r="I43" s="179"/>
      <c r="J43" s="179"/>
      <c r="K43" s="179"/>
      <c r="L43" s="179"/>
      <c r="M43" s="179"/>
      <c r="N43" s="145">
        <f t="shared" si="2"/>
        <v>2225</v>
      </c>
    </row>
    <row r="44" spans="1:14" x14ac:dyDescent="0.25">
      <c r="A44" s="368" t="s">
        <v>129</v>
      </c>
      <c r="B44" s="179"/>
      <c r="C44" s="179"/>
      <c r="D44" s="179"/>
      <c r="E44" s="179"/>
      <c r="F44" s="179"/>
      <c r="G44" s="179">
        <v>540</v>
      </c>
      <c r="H44" s="179"/>
      <c r="I44" s="179"/>
      <c r="J44" s="179"/>
      <c r="K44" s="179"/>
      <c r="L44" s="179"/>
      <c r="M44" s="179"/>
      <c r="N44" s="145">
        <f t="shared" si="2"/>
        <v>540</v>
      </c>
    </row>
    <row r="45" spans="1:14" x14ac:dyDescent="0.25">
      <c r="A45" s="368" t="s">
        <v>323</v>
      </c>
      <c r="B45" s="179"/>
      <c r="C45" s="179"/>
      <c r="D45" s="179"/>
      <c r="E45" s="179"/>
      <c r="F45" s="179"/>
      <c r="G45" s="179">
        <v>400</v>
      </c>
      <c r="H45" s="179"/>
      <c r="I45" s="179"/>
      <c r="J45" s="179"/>
      <c r="K45" s="179"/>
      <c r="L45" s="179"/>
      <c r="M45" s="179"/>
      <c r="N45" s="145">
        <f t="shared" si="2"/>
        <v>400</v>
      </c>
    </row>
    <row r="46" spans="1:14" x14ac:dyDescent="0.25">
      <c r="A46" s="368" t="s">
        <v>324</v>
      </c>
      <c r="B46" s="179"/>
      <c r="C46" s="179"/>
      <c r="D46" s="179"/>
      <c r="E46" s="179"/>
      <c r="F46" s="179"/>
      <c r="G46" s="179">
        <v>7990</v>
      </c>
      <c r="H46" s="179"/>
      <c r="I46" s="179"/>
      <c r="J46" s="179"/>
      <c r="K46" s="179"/>
      <c r="L46" s="179"/>
      <c r="M46" s="179"/>
      <c r="N46" s="145">
        <f t="shared" si="2"/>
        <v>7990</v>
      </c>
    </row>
    <row r="47" spans="1:14" x14ac:dyDescent="0.25">
      <c r="A47" s="368" t="s">
        <v>333</v>
      </c>
      <c r="B47" s="179"/>
      <c r="C47" s="179"/>
      <c r="D47" s="179"/>
      <c r="E47" s="179"/>
      <c r="F47" s="179"/>
      <c r="G47" s="179"/>
      <c r="H47" s="179">
        <v>23300</v>
      </c>
      <c r="I47" s="179"/>
      <c r="J47" s="179"/>
      <c r="K47" s="179"/>
      <c r="L47" s="179"/>
      <c r="M47" s="179"/>
      <c r="N47" s="145">
        <f t="shared" si="2"/>
        <v>23300</v>
      </c>
    </row>
    <row r="48" spans="1:14" x14ac:dyDescent="0.25">
      <c r="A48" s="368" t="s">
        <v>286</v>
      </c>
      <c r="B48" s="179"/>
      <c r="C48" s="179"/>
      <c r="D48" s="179"/>
      <c r="E48" s="179"/>
      <c r="F48" s="179"/>
      <c r="G48" s="179"/>
      <c r="H48" s="179">
        <v>170</v>
      </c>
      <c r="I48" s="179"/>
      <c r="J48" s="179"/>
      <c r="K48" s="179"/>
      <c r="L48" s="179"/>
      <c r="M48" s="179"/>
      <c r="N48" s="145">
        <f t="shared" si="2"/>
        <v>170</v>
      </c>
    </row>
    <row r="49" spans="1:14" x14ac:dyDescent="0.25">
      <c r="A49" s="368" t="s">
        <v>347</v>
      </c>
      <c r="B49" s="179"/>
      <c r="C49" s="179"/>
      <c r="D49" s="179"/>
      <c r="E49" s="179"/>
      <c r="F49" s="179"/>
      <c r="G49" s="179"/>
      <c r="H49" s="179">
        <v>878</v>
      </c>
      <c r="I49" s="179"/>
      <c r="J49" s="179"/>
      <c r="K49" s="179"/>
      <c r="L49" s="179"/>
      <c r="M49" s="179"/>
      <c r="N49" s="145">
        <f t="shared" si="2"/>
        <v>878</v>
      </c>
    </row>
    <row r="50" spans="1:14" x14ac:dyDescent="0.25">
      <c r="A50" s="368" t="s">
        <v>348</v>
      </c>
      <c r="B50" s="179"/>
      <c r="C50" s="179"/>
      <c r="D50" s="179"/>
      <c r="E50" s="179"/>
      <c r="F50" s="179"/>
      <c r="G50" s="179"/>
      <c r="H50" s="179">
        <v>1068</v>
      </c>
      <c r="I50" s="179"/>
      <c r="J50" s="179"/>
      <c r="K50" s="179"/>
      <c r="L50" s="179"/>
      <c r="M50" s="179"/>
      <c r="N50" s="145">
        <f t="shared" si="2"/>
        <v>1068</v>
      </c>
    </row>
    <row r="51" spans="1:14" x14ac:dyDescent="0.25">
      <c r="A51" s="368" t="s">
        <v>129</v>
      </c>
      <c r="B51" s="179"/>
      <c r="C51" s="179"/>
      <c r="D51" s="179"/>
      <c r="E51" s="179"/>
      <c r="F51" s="179"/>
      <c r="G51" s="179"/>
      <c r="H51" s="179">
        <v>700</v>
      </c>
      <c r="I51" s="179"/>
      <c r="J51" s="179"/>
      <c r="K51" s="179"/>
      <c r="L51" s="179"/>
      <c r="M51" s="179"/>
      <c r="N51" s="145">
        <f t="shared" si="2"/>
        <v>700</v>
      </c>
    </row>
    <row r="52" spans="1:14" x14ac:dyDescent="0.25">
      <c r="A52" s="368" t="s">
        <v>349</v>
      </c>
      <c r="B52" s="179"/>
      <c r="C52" s="179"/>
      <c r="D52" s="179"/>
      <c r="E52" s="179"/>
      <c r="F52" s="179"/>
      <c r="G52" s="179"/>
      <c r="H52" s="179">
        <v>5798</v>
      </c>
      <c r="I52" s="179"/>
      <c r="J52" s="179"/>
      <c r="K52" s="179"/>
      <c r="L52" s="179"/>
      <c r="M52" s="179"/>
      <c r="N52" s="145">
        <f t="shared" si="2"/>
        <v>5798</v>
      </c>
    </row>
    <row r="53" spans="1:14" x14ac:dyDescent="0.25">
      <c r="A53" s="368" t="s">
        <v>350</v>
      </c>
      <c r="B53" s="179"/>
      <c r="C53" s="179"/>
      <c r="D53" s="179"/>
      <c r="E53" s="179"/>
      <c r="F53" s="179"/>
      <c r="G53" s="179"/>
      <c r="H53" s="179">
        <v>2130</v>
      </c>
      <c r="I53" s="179"/>
      <c r="J53" s="179"/>
      <c r="K53" s="179"/>
      <c r="L53" s="179"/>
      <c r="M53" s="179"/>
      <c r="N53" s="145">
        <f t="shared" si="2"/>
        <v>2130</v>
      </c>
    </row>
    <row r="54" spans="1:14" x14ac:dyDescent="0.25">
      <c r="A54" s="371" t="s">
        <v>351</v>
      </c>
      <c r="B54" s="182"/>
      <c r="C54" s="182"/>
      <c r="D54" s="182"/>
      <c r="E54" s="182"/>
      <c r="F54" s="182"/>
      <c r="G54" s="182"/>
      <c r="H54" s="182">
        <v>630</v>
      </c>
      <c r="I54" s="182"/>
      <c r="J54" s="182"/>
      <c r="K54" s="182"/>
      <c r="L54" s="182"/>
      <c r="M54" s="182"/>
      <c r="N54" s="145">
        <f t="shared" si="2"/>
        <v>630</v>
      </c>
    </row>
    <row r="55" spans="1:14" x14ac:dyDescent="0.25">
      <c r="A55" s="368" t="s">
        <v>352</v>
      </c>
      <c r="B55" s="179"/>
      <c r="C55" s="179"/>
      <c r="D55" s="179"/>
      <c r="E55" s="179"/>
      <c r="F55" s="179"/>
      <c r="G55" s="179"/>
      <c r="H55" s="179">
        <v>2560</v>
      </c>
      <c r="I55" s="179"/>
      <c r="J55" s="179"/>
      <c r="K55" s="179"/>
      <c r="L55" s="179"/>
      <c r="M55" s="179"/>
      <c r="N55" s="145">
        <f t="shared" si="2"/>
        <v>2560</v>
      </c>
    </row>
    <row r="56" spans="1:14" x14ac:dyDescent="0.25">
      <c r="A56" s="368" t="s">
        <v>353</v>
      </c>
      <c r="B56" s="179"/>
      <c r="C56" s="179"/>
      <c r="D56" s="179"/>
      <c r="E56" s="179"/>
      <c r="F56" s="179"/>
      <c r="G56" s="179"/>
      <c r="H56" s="179">
        <v>2740</v>
      </c>
      <c r="I56" s="179"/>
      <c r="J56" s="179"/>
      <c r="K56" s="179"/>
      <c r="L56" s="179"/>
      <c r="M56" s="179"/>
      <c r="N56" s="145">
        <f t="shared" si="2"/>
        <v>2740</v>
      </c>
    </row>
    <row r="57" spans="1:14" x14ac:dyDescent="0.25">
      <c r="A57" s="368" t="s">
        <v>129</v>
      </c>
      <c r="B57" s="179"/>
      <c r="C57" s="179"/>
      <c r="D57" s="179"/>
      <c r="E57" s="179"/>
      <c r="F57" s="179"/>
      <c r="G57" s="179"/>
      <c r="H57" s="179">
        <v>490</v>
      </c>
      <c r="I57" s="179"/>
      <c r="J57" s="179"/>
      <c r="K57" s="179"/>
      <c r="L57" s="179"/>
      <c r="M57" s="179"/>
      <c r="N57" s="145">
        <f t="shared" si="2"/>
        <v>490</v>
      </c>
    </row>
    <row r="58" spans="1:14" ht="26.25" x14ac:dyDescent="0.25">
      <c r="A58" s="368" t="s">
        <v>362</v>
      </c>
      <c r="B58" s="179"/>
      <c r="C58" s="179"/>
      <c r="D58" s="179"/>
      <c r="E58" s="179"/>
      <c r="F58" s="179"/>
      <c r="G58" s="179"/>
      <c r="H58" s="179"/>
      <c r="I58" s="179">
        <f>7472+432</f>
        <v>7904</v>
      </c>
      <c r="J58" s="179"/>
      <c r="K58" s="179"/>
      <c r="L58" s="179"/>
      <c r="M58" s="179"/>
      <c r="N58" s="181">
        <f t="shared" ref="N58:N101" si="3">SUM(B58:M58)</f>
        <v>7904</v>
      </c>
    </row>
    <row r="59" spans="1:14" x14ac:dyDescent="0.25">
      <c r="A59" s="368" t="s">
        <v>368</v>
      </c>
      <c r="B59" s="179"/>
      <c r="C59" s="179"/>
      <c r="D59" s="179"/>
      <c r="E59" s="179"/>
      <c r="F59" s="179"/>
      <c r="G59" s="179"/>
      <c r="H59" s="179"/>
      <c r="I59" s="179">
        <v>1430</v>
      </c>
      <c r="J59" s="179"/>
      <c r="K59" s="179"/>
      <c r="L59" s="179"/>
      <c r="M59" s="179"/>
      <c r="N59" s="181">
        <f t="shared" si="3"/>
        <v>1430</v>
      </c>
    </row>
    <row r="60" spans="1:14" x14ac:dyDescent="0.25">
      <c r="A60" s="316" t="s">
        <v>369</v>
      </c>
      <c r="B60" s="179"/>
      <c r="C60" s="182"/>
      <c r="D60" s="182"/>
      <c r="E60" s="182"/>
      <c r="F60" s="182"/>
      <c r="G60" s="182"/>
      <c r="H60" s="182"/>
      <c r="I60" s="182">
        <v>1300</v>
      </c>
      <c r="J60" s="182"/>
      <c r="K60" s="182"/>
      <c r="L60" s="182"/>
      <c r="M60" s="182"/>
      <c r="N60" s="181">
        <f t="shared" si="3"/>
        <v>1300</v>
      </c>
    </row>
    <row r="61" spans="1:14" x14ac:dyDescent="0.25">
      <c r="A61" s="368" t="s">
        <v>370</v>
      </c>
      <c r="B61" s="179"/>
      <c r="C61" s="182"/>
      <c r="D61" s="182"/>
      <c r="E61" s="182"/>
      <c r="F61" s="182"/>
      <c r="G61" s="182"/>
      <c r="H61" s="182"/>
      <c r="I61" s="182">
        <v>550</v>
      </c>
      <c r="J61" s="182"/>
      <c r="K61" s="182"/>
      <c r="L61" s="182"/>
      <c r="M61" s="182"/>
      <c r="N61" s="181">
        <f t="shared" si="3"/>
        <v>550</v>
      </c>
    </row>
    <row r="62" spans="1:14" x14ac:dyDescent="0.25">
      <c r="A62" s="316" t="s">
        <v>377</v>
      </c>
      <c r="B62" s="179"/>
      <c r="C62" s="181"/>
      <c r="D62" s="181"/>
      <c r="E62" s="181"/>
      <c r="F62" s="181"/>
      <c r="G62" s="181"/>
      <c r="H62" s="181"/>
      <c r="I62" s="181"/>
      <c r="J62" s="181">
        <v>6800</v>
      </c>
      <c r="K62" s="181"/>
      <c r="L62" s="181"/>
      <c r="M62" s="181"/>
      <c r="N62" s="181">
        <f t="shared" si="3"/>
        <v>6800</v>
      </c>
    </row>
    <row r="63" spans="1:14" x14ac:dyDescent="0.25">
      <c r="A63" s="368" t="s">
        <v>380</v>
      </c>
      <c r="B63" s="179"/>
      <c r="C63" s="179"/>
      <c r="D63" s="191"/>
      <c r="E63" s="179"/>
      <c r="F63" s="179"/>
      <c r="G63" s="179"/>
      <c r="H63" s="179"/>
      <c r="I63" s="179"/>
      <c r="J63" s="179">
        <f>15000+10000+12000</f>
        <v>37000</v>
      </c>
      <c r="K63" s="179"/>
      <c r="L63" s="179"/>
      <c r="M63" s="179"/>
      <c r="N63" s="181">
        <f t="shared" si="3"/>
        <v>37000</v>
      </c>
    </row>
    <row r="64" spans="1:14" x14ac:dyDescent="0.25">
      <c r="A64" s="316" t="s">
        <v>385</v>
      </c>
      <c r="B64" s="179"/>
      <c r="C64" s="179"/>
      <c r="D64" s="179"/>
      <c r="E64" s="179"/>
      <c r="F64" s="179"/>
      <c r="G64" s="179"/>
      <c r="H64" s="179"/>
      <c r="I64" s="179"/>
      <c r="J64" s="179">
        <v>1420</v>
      </c>
      <c r="K64" s="179"/>
      <c r="L64" s="179"/>
      <c r="M64" s="179"/>
      <c r="N64" s="181">
        <f t="shared" si="3"/>
        <v>1420</v>
      </c>
    </row>
    <row r="65" spans="1:14" x14ac:dyDescent="0.25">
      <c r="A65" s="368" t="s">
        <v>175</v>
      </c>
      <c r="B65" s="179"/>
      <c r="C65" s="179"/>
      <c r="D65" s="179"/>
      <c r="E65" s="179"/>
      <c r="F65" s="179"/>
      <c r="G65" s="179"/>
      <c r="H65" s="179"/>
      <c r="I65" s="179"/>
      <c r="J65" s="179">
        <v>4320</v>
      </c>
      <c r="K65" s="179"/>
      <c r="L65" s="179"/>
      <c r="M65" s="179"/>
      <c r="N65" s="181">
        <f t="shared" si="3"/>
        <v>4320</v>
      </c>
    </row>
    <row r="66" spans="1:14" x14ac:dyDescent="0.25">
      <c r="A66" s="316" t="s">
        <v>386</v>
      </c>
      <c r="B66" s="179"/>
      <c r="C66" s="179"/>
      <c r="D66" s="179"/>
      <c r="E66" s="179"/>
      <c r="F66" s="179"/>
      <c r="G66" s="179"/>
      <c r="H66" s="179"/>
      <c r="I66" s="179"/>
      <c r="J66" s="179">
        <v>2030</v>
      </c>
      <c r="K66" s="179"/>
      <c r="L66" s="179"/>
      <c r="M66" s="179"/>
      <c r="N66" s="181">
        <f t="shared" si="3"/>
        <v>2030</v>
      </c>
    </row>
    <row r="67" spans="1:14" x14ac:dyDescent="0.25">
      <c r="A67" s="368" t="s">
        <v>389</v>
      </c>
      <c r="B67" s="179"/>
      <c r="C67" s="179"/>
      <c r="D67" s="179"/>
      <c r="E67" s="179"/>
      <c r="F67" s="179"/>
      <c r="G67" s="179"/>
      <c r="H67" s="179"/>
      <c r="I67" s="179"/>
      <c r="J67" s="179">
        <f>730+547</f>
        <v>1277</v>
      </c>
      <c r="K67" s="179"/>
      <c r="L67" s="179"/>
      <c r="M67" s="179"/>
      <c r="N67" s="181">
        <f t="shared" si="3"/>
        <v>1277</v>
      </c>
    </row>
    <row r="68" spans="1:14" x14ac:dyDescent="0.25">
      <c r="A68" s="316" t="s">
        <v>390</v>
      </c>
      <c r="B68" s="179"/>
      <c r="C68" s="179"/>
      <c r="D68" s="179"/>
      <c r="E68" s="179"/>
      <c r="F68" s="179"/>
      <c r="G68" s="179"/>
      <c r="H68" s="179"/>
      <c r="I68" s="179"/>
      <c r="J68" s="179">
        <v>308</v>
      </c>
      <c r="K68" s="179"/>
      <c r="L68" s="179"/>
      <c r="M68" s="179"/>
      <c r="N68" s="181">
        <f t="shared" si="3"/>
        <v>308</v>
      </c>
    </row>
    <row r="69" spans="1:14" x14ac:dyDescent="0.25">
      <c r="A69" s="368" t="s">
        <v>391</v>
      </c>
      <c r="B69" s="179"/>
      <c r="C69" s="179"/>
      <c r="D69" s="179"/>
      <c r="E69" s="179"/>
      <c r="F69" s="179"/>
      <c r="G69" s="179"/>
      <c r="H69" s="179"/>
      <c r="I69" s="179"/>
      <c r="J69" s="179">
        <v>380</v>
      </c>
      <c r="K69" s="179"/>
      <c r="L69" s="179"/>
      <c r="M69" s="179"/>
      <c r="N69" s="181">
        <f t="shared" si="3"/>
        <v>380</v>
      </c>
    </row>
    <row r="70" spans="1:14" x14ac:dyDescent="0.25">
      <c r="A70" s="316" t="s">
        <v>398</v>
      </c>
      <c r="B70" s="179"/>
      <c r="C70" s="179"/>
      <c r="D70" s="179"/>
      <c r="E70" s="179"/>
      <c r="F70" s="179"/>
      <c r="G70" s="179"/>
      <c r="H70" s="179"/>
      <c r="I70" s="179"/>
      <c r="J70" s="179">
        <v>4244</v>
      </c>
      <c r="K70" s="179"/>
      <c r="L70" s="179"/>
      <c r="M70" s="179"/>
      <c r="N70" s="181">
        <f t="shared" si="3"/>
        <v>4244</v>
      </c>
    </row>
    <row r="71" spans="1:14" x14ac:dyDescent="0.25">
      <c r="A71" s="368" t="s">
        <v>399</v>
      </c>
      <c r="B71" s="179"/>
      <c r="C71" s="179"/>
      <c r="D71" s="179"/>
      <c r="E71" s="179"/>
      <c r="F71" s="179"/>
      <c r="G71" s="179"/>
      <c r="H71" s="179"/>
      <c r="I71" s="179"/>
      <c r="J71" s="179">
        <v>1960</v>
      </c>
      <c r="K71" s="179"/>
      <c r="L71" s="179"/>
      <c r="M71" s="179"/>
      <c r="N71" s="181">
        <f t="shared" si="3"/>
        <v>1960</v>
      </c>
    </row>
    <row r="72" spans="1:14" x14ac:dyDescent="0.25">
      <c r="A72" s="316" t="s">
        <v>407</v>
      </c>
      <c r="B72" s="179"/>
      <c r="C72" s="179"/>
      <c r="D72" s="179"/>
      <c r="E72" s="179"/>
      <c r="F72" s="179"/>
      <c r="G72" s="179"/>
      <c r="H72" s="179"/>
      <c r="I72" s="179"/>
      <c r="J72" s="179"/>
      <c r="K72" s="179">
        <f>1270+1270+1270</f>
        <v>3810</v>
      </c>
      <c r="L72" s="179"/>
      <c r="M72" s="179"/>
      <c r="N72" s="181">
        <f t="shared" si="3"/>
        <v>3810</v>
      </c>
    </row>
    <row r="73" spans="1:14" x14ac:dyDescent="0.25">
      <c r="A73" s="368" t="s">
        <v>411</v>
      </c>
      <c r="B73" s="179"/>
      <c r="C73" s="179"/>
      <c r="D73" s="179"/>
      <c r="E73" s="179"/>
      <c r="F73" s="179"/>
      <c r="G73" s="179"/>
      <c r="H73" s="179"/>
      <c r="I73" s="179"/>
      <c r="J73" s="179"/>
      <c r="K73" s="179">
        <v>2640</v>
      </c>
      <c r="L73" s="179"/>
      <c r="M73" s="179"/>
      <c r="N73" s="181">
        <f t="shared" si="3"/>
        <v>2640</v>
      </c>
    </row>
    <row r="74" spans="1:14" x14ac:dyDescent="0.25">
      <c r="A74" s="316" t="s">
        <v>412</v>
      </c>
      <c r="B74" s="179"/>
      <c r="C74" s="179"/>
      <c r="D74" s="179"/>
      <c r="E74" s="179"/>
      <c r="F74" s="179"/>
      <c r="G74" s="179"/>
      <c r="H74" s="179"/>
      <c r="I74" s="179"/>
      <c r="J74" s="179"/>
      <c r="K74" s="179">
        <v>400</v>
      </c>
      <c r="L74" s="179"/>
      <c r="M74" s="179"/>
      <c r="N74" s="181">
        <f t="shared" si="3"/>
        <v>400</v>
      </c>
    </row>
    <row r="75" spans="1:14" x14ac:dyDescent="0.25">
      <c r="A75" s="368" t="s">
        <v>129</v>
      </c>
      <c r="B75" s="179"/>
      <c r="C75" s="179"/>
      <c r="D75" s="179"/>
      <c r="E75" s="179"/>
      <c r="F75" s="179"/>
      <c r="G75" s="179"/>
      <c r="H75" s="179"/>
      <c r="I75" s="179"/>
      <c r="J75" s="179"/>
      <c r="K75" s="179">
        <v>239.96</v>
      </c>
      <c r="L75" s="179">
        <v>320</v>
      </c>
      <c r="M75" s="179"/>
      <c r="N75" s="181">
        <f t="shared" si="3"/>
        <v>559.96</v>
      </c>
    </row>
    <row r="76" spans="1:14" x14ac:dyDescent="0.25">
      <c r="A76" s="377" t="s">
        <v>418</v>
      </c>
      <c r="B76" s="179"/>
      <c r="C76" s="179"/>
      <c r="D76" s="179"/>
      <c r="E76" s="179"/>
      <c r="F76" s="179"/>
      <c r="G76" s="179"/>
      <c r="H76" s="179"/>
      <c r="I76" s="179"/>
      <c r="J76" s="179"/>
      <c r="K76" s="179">
        <v>3490</v>
      </c>
      <c r="L76" s="179"/>
      <c r="M76" s="179"/>
      <c r="N76" s="181">
        <f t="shared" si="3"/>
        <v>3490</v>
      </c>
    </row>
    <row r="77" spans="1:14" x14ac:dyDescent="0.25">
      <c r="A77" s="368" t="s">
        <v>419</v>
      </c>
      <c r="B77" s="179"/>
      <c r="C77" s="179"/>
      <c r="D77" s="179"/>
      <c r="E77" s="179"/>
      <c r="F77" s="179"/>
      <c r="G77" s="179"/>
      <c r="H77" s="179"/>
      <c r="I77" s="179"/>
      <c r="J77" s="179"/>
      <c r="K77" s="179">
        <f>450+989</f>
        <v>1439</v>
      </c>
      <c r="L77" s="179"/>
      <c r="M77" s="179"/>
      <c r="N77" s="181">
        <f t="shared" si="3"/>
        <v>1439</v>
      </c>
    </row>
    <row r="78" spans="1:14" x14ac:dyDescent="0.25">
      <c r="A78" s="368" t="s">
        <v>431</v>
      </c>
      <c r="B78" s="179"/>
      <c r="C78" s="179"/>
      <c r="D78" s="179"/>
      <c r="E78" s="179"/>
      <c r="F78" s="179"/>
      <c r="G78" s="179"/>
      <c r="H78" s="179"/>
      <c r="I78" s="179"/>
      <c r="J78" s="179"/>
      <c r="K78" s="179"/>
      <c r="L78" s="179">
        <v>3360</v>
      </c>
      <c r="M78" s="179"/>
      <c r="N78" s="181">
        <f t="shared" si="3"/>
        <v>3360</v>
      </c>
    </row>
    <row r="79" spans="1:14" x14ac:dyDescent="0.25">
      <c r="A79" s="316" t="s">
        <v>432</v>
      </c>
      <c r="B79" s="179"/>
      <c r="C79" s="181"/>
      <c r="D79" s="181"/>
      <c r="E79" s="181"/>
      <c r="F79" s="181"/>
      <c r="G79" s="181"/>
      <c r="H79" s="181"/>
      <c r="I79" s="181"/>
      <c r="J79" s="181"/>
      <c r="K79" s="181"/>
      <c r="L79" s="181">
        <v>1030</v>
      </c>
      <c r="M79" s="181"/>
      <c r="N79" s="181">
        <f t="shared" si="3"/>
        <v>1030</v>
      </c>
    </row>
    <row r="80" spans="1:14" x14ac:dyDescent="0.25">
      <c r="A80" s="368" t="s">
        <v>440</v>
      </c>
      <c r="B80" s="181"/>
      <c r="C80" s="181"/>
      <c r="D80" s="181"/>
      <c r="E80" s="181"/>
      <c r="F80" s="181"/>
      <c r="G80" s="181"/>
      <c r="H80" s="181"/>
      <c r="I80" s="181"/>
      <c r="J80" s="181"/>
      <c r="K80" s="181"/>
      <c r="L80" s="181">
        <v>4943</v>
      </c>
      <c r="M80" s="181"/>
      <c r="N80" s="181">
        <f t="shared" si="3"/>
        <v>4943</v>
      </c>
    </row>
    <row r="81" spans="1:14" x14ac:dyDescent="0.25">
      <c r="A81" s="316" t="s">
        <v>441</v>
      </c>
      <c r="B81" s="181"/>
      <c r="C81" s="181"/>
      <c r="D81" s="181"/>
      <c r="E81" s="181"/>
      <c r="F81" s="181"/>
      <c r="G81" s="181"/>
      <c r="H81" s="181"/>
      <c r="I81" s="181"/>
      <c r="J81" s="181"/>
      <c r="K81" s="181"/>
      <c r="L81" s="181">
        <v>450</v>
      </c>
      <c r="M81" s="181"/>
      <c r="N81" s="181">
        <f t="shared" si="3"/>
        <v>450</v>
      </c>
    </row>
    <row r="82" spans="1:14" x14ac:dyDescent="0.25">
      <c r="A82" s="368" t="s">
        <v>442</v>
      </c>
      <c r="B82" s="181"/>
      <c r="C82" s="181"/>
      <c r="D82" s="181"/>
      <c r="E82" s="181"/>
      <c r="F82" s="181"/>
      <c r="G82" s="181"/>
      <c r="H82" s="181"/>
      <c r="I82" s="181"/>
      <c r="J82" s="181"/>
      <c r="K82" s="181"/>
      <c r="L82" s="181">
        <v>4000</v>
      </c>
      <c r="M82" s="181"/>
      <c r="N82" s="181">
        <f t="shared" si="3"/>
        <v>4000</v>
      </c>
    </row>
    <row r="83" spans="1:14" ht="30" x14ac:dyDescent="0.25">
      <c r="A83" s="316" t="s">
        <v>443</v>
      </c>
      <c r="B83" s="181"/>
      <c r="C83" s="181"/>
      <c r="D83" s="181"/>
      <c r="E83" s="181"/>
      <c r="F83" s="181"/>
      <c r="G83" s="181"/>
      <c r="H83" s="181"/>
      <c r="I83" s="181"/>
      <c r="J83" s="181"/>
      <c r="K83" s="181"/>
      <c r="L83" s="181">
        <v>4030</v>
      </c>
      <c r="M83" s="181"/>
      <c r="N83" s="181">
        <f t="shared" si="3"/>
        <v>4030</v>
      </c>
    </row>
    <row r="84" spans="1:14" x14ac:dyDescent="0.25">
      <c r="A84" s="148" t="s">
        <v>444</v>
      </c>
      <c r="B84" s="181"/>
      <c r="C84" s="181"/>
      <c r="D84" s="181"/>
      <c r="E84" s="181"/>
      <c r="F84" s="181"/>
      <c r="G84" s="181"/>
      <c r="H84" s="181"/>
      <c r="I84" s="181"/>
      <c r="J84" s="181"/>
      <c r="K84" s="181"/>
      <c r="L84" s="181">
        <v>2740</v>
      </c>
      <c r="M84" s="181"/>
      <c r="N84" s="181">
        <f t="shared" si="3"/>
        <v>2740</v>
      </c>
    </row>
    <row r="85" spans="1:14" x14ac:dyDescent="0.25">
      <c r="A85" s="148" t="s">
        <v>129</v>
      </c>
      <c r="B85" s="181"/>
      <c r="C85" s="181"/>
      <c r="D85" s="181"/>
      <c r="E85" s="181"/>
      <c r="F85" s="181"/>
      <c r="G85" s="181"/>
      <c r="H85" s="181"/>
      <c r="I85" s="181"/>
      <c r="J85" s="181"/>
      <c r="K85" s="181"/>
      <c r="L85" s="181">
        <v>840</v>
      </c>
      <c r="M85" s="181"/>
      <c r="N85" s="181">
        <f t="shared" si="3"/>
        <v>840</v>
      </c>
    </row>
    <row r="86" spans="1:14" x14ac:dyDescent="0.25">
      <c r="A86" s="148" t="s">
        <v>196</v>
      </c>
      <c r="B86" s="181"/>
      <c r="C86" s="181"/>
      <c r="D86" s="181"/>
      <c r="E86" s="181"/>
      <c r="F86" s="181"/>
      <c r="G86" s="181"/>
      <c r="H86" s="181"/>
      <c r="I86" s="181"/>
      <c r="J86" s="181"/>
      <c r="K86" s="181"/>
      <c r="L86" s="181">
        <v>5000</v>
      </c>
      <c r="M86" s="181"/>
      <c r="N86" s="181">
        <f t="shared" si="3"/>
        <v>5000</v>
      </c>
    </row>
    <row r="87" spans="1:14" x14ac:dyDescent="0.25">
      <c r="A87" s="148" t="s">
        <v>445</v>
      </c>
      <c r="B87" s="181"/>
      <c r="C87" s="181"/>
      <c r="D87" s="181"/>
      <c r="E87" s="181"/>
      <c r="F87" s="181"/>
      <c r="G87" s="181"/>
      <c r="H87" s="181"/>
      <c r="I87" s="181"/>
      <c r="J87" s="181"/>
      <c r="K87" s="181"/>
      <c r="L87" s="181">
        <v>7188</v>
      </c>
      <c r="M87" s="181"/>
      <c r="N87" s="181">
        <f t="shared" si="3"/>
        <v>7188</v>
      </c>
    </row>
    <row r="88" spans="1:14" x14ac:dyDescent="0.25">
      <c r="A88" s="148" t="s">
        <v>460</v>
      </c>
      <c r="B88" s="181"/>
      <c r="C88" s="181"/>
      <c r="D88" s="181"/>
      <c r="E88" s="181"/>
      <c r="F88" s="181"/>
      <c r="G88" s="181"/>
      <c r="H88" s="181"/>
      <c r="I88" s="181"/>
      <c r="J88" s="181"/>
      <c r="K88" s="181"/>
      <c r="L88" s="181"/>
      <c r="M88" s="181">
        <v>390</v>
      </c>
      <c r="N88" s="181">
        <f t="shared" si="3"/>
        <v>390</v>
      </c>
    </row>
    <row r="89" spans="1:14" x14ac:dyDescent="0.25">
      <c r="A89" s="148" t="s">
        <v>461</v>
      </c>
      <c r="B89" s="181"/>
      <c r="C89" s="181"/>
      <c r="D89" s="181"/>
      <c r="E89" s="181"/>
      <c r="F89" s="181"/>
      <c r="G89" s="181"/>
      <c r="H89" s="181"/>
      <c r="I89" s="181"/>
      <c r="J89" s="181"/>
      <c r="K89" s="181"/>
      <c r="L89" s="181"/>
      <c r="M89" s="181">
        <v>1650</v>
      </c>
      <c r="N89" s="181">
        <f t="shared" si="3"/>
        <v>1650</v>
      </c>
    </row>
    <row r="90" spans="1:14" ht="26.25" x14ac:dyDescent="0.25">
      <c r="A90" s="148" t="s">
        <v>462</v>
      </c>
      <c r="B90" s="181"/>
      <c r="C90" s="181"/>
      <c r="D90" s="181"/>
      <c r="E90" s="181"/>
      <c r="F90" s="181"/>
      <c r="G90" s="181"/>
      <c r="H90" s="181"/>
      <c r="I90" s="181"/>
      <c r="J90" s="181"/>
      <c r="K90" s="181"/>
      <c r="L90" s="181"/>
      <c r="M90" s="181">
        <v>5913</v>
      </c>
      <c r="N90" s="181">
        <f t="shared" si="3"/>
        <v>5913</v>
      </c>
    </row>
    <row r="91" spans="1:14" x14ac:dyDescent="0.25">
      <c r="A91" s="148" t="s">
        <v>463</v>
      </c>
      <c r="B91" s="181"/>
      <c r="C91" s="181"/>
      <c r="D91" s="181"/>
      <c r="E91" s="181"/>
      <c r="F91" s="181"/>
      <c r="G91" s="181"/>
      <c r="H91" s="181"/>
      <c r="I91" s="181"/>
      <c r="J91" s="181"/>
      <c r="K91" s="181"/>
      <c r="L91" s="181"/>
      <c r="M91" s="181">
        <v>826</v>
      </c>
      <c r="N91" s="181">
        <f t="shared" si="3"/>
        <v>826</v>
      </c>
    </row>
    <row r="92" spans="1:14" x14ac:dyDescent="0.25">
      <c r="A92" s="148" t="s">
        <v>464</v>
      </c>
      <c r="B92" s="181"/>
      <c r="C92" s="181"/>
      <c r="D92" s="181"/>
      <c r="E92" s="181"/>
      <c r="F92" s="181"/>
      <c r="G92" s="181"/>
      <c r="H92" s="181"/>
      <c r="I92" s="181"/>
      <c r="J92" s="181"/>
      <c r="K92" s="181"/>
      <c r="L92" s="181"/>
      <c r="M92" s="181">
        <v>1085</v>
      </c>
      <c r="N92" s="181">
        <f t="shared" si="3"/>
        <v>1085</v>
      </c>
    </row>
    <row r="93" spans="1:14" x14ac:dyDescent="0.25">
      <c r="A93" s="148" t="s">
        <v>466</v>
      </c>
      <c r="B93" s="181"/>
      <c r="C93" s="181"/>
      <c r="D93" s="181"/>
      <c r="E93" s="181"/>
      <c r="F93" s="181"/>
      <c r="G93" s="181"/>
      <c r="H93" s="181"/>
      <c r="I93" s="181"/>
      <c r="J93" s="181"/>
      <c r="K93" s="181"/>
      <c r="L93" s="181"/>
      <c r="M93" s="181">
        <v>4896</v>
      </c>
      <c r="N93" s="181">
        <f t="shared" si="3"/>
        <v>4896</v>
      </c>
    </row>
    <row r="94" spans="1:14" x14ac:dyDescent="0.25">
      <c r="A94" s="148" t="s">
        <v>467</v>
      </c>
      <c r="B94" s="181"/>
      <c r="C94" s="181"/>
      <c r="D94" s="181"/>
      <c r="E94" s="181"/>
      <c r="F94" s="181"/>
      <c r="G94" s="181"/>
      <c r="H94" s="181"/>
      <c r="I94" s="181"/>
      <c r="J94" s="181"/>
      <c r="K94" s="181"/>
      <c r="L94" s="181"/>
      <c r="M94" s="181">
        <v>1543</v>
      </c>
      <c r="N94" s="181">
        <f t="shared" si="3"/>
        <v>1543</v>
      </c>
    </row>
    <row r="95" spans="1:14" x14ac:dyDescent="0.25">
      <c r="A95" s="148" t="s">
        <v>468</v>
      </c>
      <c r="B95" s="181"/>
      <c r="C95" s="181"/>
      <c r="D95" s="181"/>
      <c r="E95" s="181"/>
      <c r="F95" s="181"/>
      <c r="G95" s="181"/>
      <c r="H95" s="181"/>
      <c r="I95" s="181"/>
      <c r="J95" s="181"/>
      <c r="K95" s="181"/>
      <c r="L95" s="181"/>
      <c r="M95" s="181">
        <v>1285</v>
      </c>
      <c r="N95" s="181">
        <f t="shared" si="3"/>
        <v>1285</v>
      </c>
    </row>
    <row r="96" spans="1:14" x14ac:dyDescent="0.25">
      <c r="A96" s="148" t="s">
        <v>469</v>
      </c>
      <c r="B96" s="181"/>
      <c r="C96" s="181"/>
      <c r="D96" s="181"/>
      <c r="E96" s="181"/>
      <c r="F96" s="181"/>
      <c r="G96" s="181"/>
      <c r="H96" s="181"/>
      <c r="I96" s="181"/>
      <c r="J96" s="181"/>
      <c r="K96" s="181"/>
      <c r="L96" s="181"/>
      <c r="M96" s="181">
        <v>4180</v>
      </c>
      <c r="N96" s="181">
        <f t="shared" si="3"/>
        <v>4180</v>
      </c>
    </row>
    <row r="97" spans="1:14" x14ac:dyDescent="0.25">
      <c r="A97" s="148" t="s">
        <v>351</v>
      </c>
      <c r="B97" s="181"/>
      <c r="C97" s="181"/>
      <c r="D97" s="181"/>
      <c r="E97" s="181"/>
      <c r="F97" s="181"/>
      <c r="G97" s="181"/>
      <c r="H97" s="181"/>
      <c r="I97" s="181"/>
      <c r="J97" s="181"/>
      <c r="K97" s="181"/>
      <c r="L97" s="181"/>
      <c r="M97" s="181">
        <v>1400</v>
      </c>
      <c r="N97" s="181">
        <f t="shared" si="3"/>
        <v>1400</v>
      </c>
    </row>
    <row r="98" spans="1:14" ht="26.25" x14ac:dyDescent="0.25">
      <c r="A98" s="148" t="s">
        <v>475</v>
      </c>
      <c r="B98" s="181"/>
      <c r="C98" s="181"/>
      <c r="D98" s="181"/>
      <c r="E98" s="181"/>
      <c r="F98" s="181"/>
      <c r="G98" s="181"/>
      <c r="H98" s="181"/>
      <c r="I98" s="181"/>
      <c r="J98" s="181"/>
      <c r="K98" s="181"/>
      <c r="L98" s="181"/>
      <c r="M98" s="181">
        <f>9379</f>
        <v>9379</v>
      </c>
      <c r="N98" s="181">
        <f t="shared" si="3"/>
        <v>9379</v>
      </c>
    </row>
    <row r="99" spans="1:14" x14ac:dyDescent="0.25">
      <c r="A99" s="148" t="s">
        <v>476</v>
      </c>
      <c r="B99" s="181"/>
      <c r="C99" s="181"/>
      <c r="D99" s="181"/>
      <c r="E99" s="181"/>
      <c r="F99" s="181"/>
      <c r="G99" s="181"/>
      <c r="H99" s="181"/>
      <c r="I99" s="181"/>
      <c r="J99" s="181"/>
      <c r="K99" s="181"/>
      <c r="L99" s="181"/>
      <c r="M99" s="181">
        <v>952</v>
      </c>
      <c r="N99" s="181">
        <f t="shared" si="3"/>
        <v>952</v>
      </c>
    </row>
    <row r="100" spans="1:14" x14ac:dyDescent="0.25">
      <c r="A100" s="148" t="s">
        <v>461</v>
      </c>
      <c r="B100" s="181"/>
      <c r="C100" s="181"/>
      <c r="D100" s="181"/>
      <c r="E100" s="181"/>
      <c r="F100" s="181"/>
      <c r="G100" s="181"/>
      <c r="H100" s="181"/>
      <c r="I100" s="181"/>
      <c r="J100" s="181"/>
      <c r="K100" s="181"/>
      <c r="L100" s="181"/>
      <c r="M100" s="181">
        <v>2400</v>
      </c>
      <c r="N100" s="181">
        <f t="shared" si="3"/>
        <v>2400</v>
      </c>
    </row>
    <row r="101" spans="1:14" x14ac:dyDescent="0.25">
      <c r="A101" s="151"/>
      <c r="B101" s="182"/>
      <c r="C101" s="182"/>
      <c r="D101" s="182"/>
      <c r="E101" s="182"/>
      <c r="F101" s="182"/>
      <c r="G101" s="182"/>
      <c r="H101" s="182"/>
      <c r="I101" s="182"/>
      <c r="J101" s="182"/>
      <c r="K101" s="182"/>
      <c r="L101" s="182"/>
      <c r="M101" s="182"/>
      <c r="N101" s="181">
        <f t="shared" si="3"/>
        <v>0</v>
      </c>
    </row>
    <row r="102" spans="1:14" x14ac:dyDescent="0.25">
      <c r="A102" s="133" t="s">
        <v>91</v>
      </c>
      <c r="B102" s="186">
        <f t="shared" ref="B102:N102" si="4">SUM(B1:B101)</f>
        <v>69467.81</v>
      </c>
      <c r="C102" s="186">
        <f t="shared" si="4"/>
        <v>49239.99</v>
      </c>
      <c r="D102" s="186">
        <f t="shared" si="4"/>
        <v>42463.18</v>
      </c>
      <c r="E102" s="186">
        <f t="shared" si="4"/>
        <v>96313.07</v>
      </c>
      <c r="F102" s="186">
        <f t="shared" si="4"/>
        <v>69116.63</v>
      </c>
      <c r="G102" s="186">
        <f t="shared" si="4"/>
        <v>89916.73</v>
      </c>
      <c r="H102" s="186">
        <f t="shared" si="4"/>
        <v>105228.67</v>
      </c>
      <c r="I102" s="186">
        <f t="shared" si="4"/>
        <v>45820.710000000006</v>
      </c>
      <c r="J102" s="186">
        <f t="shared" si="4"/>
        <v>138527.58000000002</v>
      </c>
      <c r="K102" s="186">
        <f t="shared" si="4"/>
        <v>131649.80000000002</v>
      </c>
      <c r="L102" s="186">
        <f>SUM(L1:L101)</f>
        <v>64902.180000000008</v>
      </c>
      <c r="M102" s="186">
        <f t="shared" si="4"/>
        <v>94639.18</v>
      </c>
      <c r="N102" s="154">
        <f>SUM(N1:N101)</f>
        <v>997285.52999999991</v>
      </c>
    </row>
    <row r="103" spans="1:14" x14ac:dyDescent="0.25">
      <c r="N103" s="95">
        <f>SUM(B102:M102)-N102</f>
        <v>0</v>
      </c>
    </row>
  </sheetData>
  <autoFilter ref="A1:A103"/>
  <phoneticPr fontId="22" type="noConversion"/>
  <pageMargins left="0.7" right="0.7" top="0.75" bottom="0.75" header="0.3" footer="0.3"/>
  <pageSetup paperSize="9" scale="54" firstPageNumber="42949672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N12"/>
  <sheetViews>
    <sheetView workbookViewId="0">
      <selection activeCell="L27" sqref="L27"/>
    </sheetView>
  </sheetViews>
  <sheetFormatPr defaultRowHeight="15" x14ac:dyDescent="0.25"/>
  <cols>
    <col min="1" max="1" width="29.85546875" bestFit="1" customWidth="1"/>
    <col min="2" max="2" width="8.140625" style="1" customWidth="1"/>
    <col min="3" max="3" width="8.28515625" style="1" customWidth="1"/>
    <col min="4" max="4" width="8.140625" style="1" customWidth="1"/>
    <col min="5" max="5" width="8.28515625" style="1" customWidth="1"/>
    <col min="6" max="6" width="8.42578125" style="1" customWidth="1"/>
    <col min="7" max="8" width="9.140625" style="1"/>
    <col min="9" max="9" width="8.140625" style="1" customWidth="1"/>
    <col min="10" max="10" width="8.28515625" style="1" customWidth="1"/>
    <col min="11" max="11" width="9.28515625" style="1" bestFit="1" customWidth="1"/>
    <col min="12" max="13" width="9.140625" style="1"/>
    <col min="14" max="14" width="11.85546875" style="1" bestFit="1" customWidth="1"/>
  </cols>
  <sheetData>
    <row r="1" spans="1:14" x14ac:dyDescent="0.25">
      <c r="A1" s="155" t="s">
        <v>29</v>
      </c>
      <c r="B1" s="135" t="str">
        <f>'ВСЕ затраты'!B1</f>
        <v>2023-2024гг.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9"/>
    </row>
    <row r="2" spans="1:14" x14ac:dyDescent="0.25">
      <c r="A2" s="156"/>
      <c r="B2" s="140" t="s">
        <v>9</v>
      </c>
      <c r="C2" s="138" t="s">
        <v>14</v>
      </c>
      <c r="D2" s="140" t="s">
        <v>15</v>
      </c>
      <c r="E2" s="138" t="s">
        <v>16</v>
      </c>
      <c r="F2" s="138" t="s">
        <v>17</v>
      </c>
      <c r="G2" s="138" t="s">
        <v>18</v>
      </c>
      <c r="H2" s="138" t="s">
        <v>19</v>
      </c>
      <c r="I2" s="138" t="s">
        <v>4</v>
      </c>
      <c r="J2" s="138" t="s">
        <v>5</v>
      </c>
      <c r="K2" s="138" t="s">
        <v>6</v>
      </c>
      <c r="L2" s="138" t="s">
        <v>7</v>
      </c>
      <c r="M2" s="138" t="s">
        <v>8</v>
      </c>
      <c r="N2" s="138"/>
    </row>
    <row r="3" spans="1:14" x14ac:dyDescent="0.25">
      <c r="A3" s="152" t="s">
        <v>100</v>
      </c>
      <c r="B3" s="179"/>
      <c r="C3" s="179"/>
      <c r="D3" s="179"/>
      <c r="E3" s="179"/>
      <c r="F3" s="179"/>
      <c r="G3" s="179"/>
      <c r="H3" s="179"/>
      <c r="I3" s="179">
        <v>9203.4500000000007</v>
      </c>
      <c r="J3" s="179"/>
      <c r="K3" s="179"/>
      <c r="L3" s="179"/>
      <c r="M3" s="179"/>
      <c r="N3" s="181">
        <f>SUM(B3:M3)</f>
        <v>9203.4500000000007</v>
      </c>
    </row>
    <row r="4" spans="1:14" x14ac:dyDescent="0.25">
      <c r="A4" s="152" t="s">
        <v>101</v>
      </c>
      <c r="B4" s="179"/>
      <c r="C4" s="179">
        <v>3790</v>
      </c>
      <c r="D4" s="179"/>
      <c r="E4" s="179">
        <v>5000</v>
      </c>
      <c r="F4" s="179"/>
      <c r="G4" s="179"/>
      <c r="H4" s="179"/>
      <c r="I4" s="179"/>
      <c r="J4" s="179"/>
      <c r="K4" s="179">
        <v>15000</v>
      </c>
      <c r="L4" s="179"/>
      <c r="M4" s="179"/>
      <c r="N4" s="181">
        <f t="shared" ref="N4:N6" si="0">SUM(B4:M4)</f>
        <v>23790</v>
      </c>
    </row>
    <row r="5" spans="1:14" x14ac:dyDescent="0.25">
      <c r="A5" s="157" t="s">
        <v>102</v>
      </c>
      <c r="B5" s="179"/>
      <c r="C5" s="179"/>
      <c r="D5" s="179">
        <v>3000</v>
      </c>
      <c r="E5" s="179"/>
      <c r="F5" s="179">
        <v>3750</v>
      </c>
      <c r="G5" s="179"/>
      <c r="H5" s="179"/>
      <c r="I5" s="179"/>
      <c r="J5" s="179"/>
      <c r="K5" s="179"/>
      <c r="L5" s="179">
        <v>22500</v>
      </c>
      <c r="M5" s="179"/>
      <c r="N5" s="181">
        <f t="shared" si="0"/>
        <v>29250</v>
      </c>
    </row>
    <row r="6" spans="1:14" x14ac:dyDescent="0.25">
      <c r="A6" s="152" t="s">
        <v>123</v>
      </c>
      <c r="B6" s="179"/>
      <c r="C6" s="179"/>
      <c r="D6" s="179"/>
      <c r="E6" s="179"/>
      <c r="F6" s="179"/>
      <c r="G6" s="179">
        <v>3590</v>
      </c>
      <c r="H6" s="179"/>
      <c r="I6" s="179"/>
      <c r="J6" s="179"/>
      <c r="K6" s="179"/>
      <c r="L6" s="179"/>
      <c r="M6" s="179"/>
      <c r="N6" s="181">
        <f t="shared" si="0"/>
        <v>3590</v>
      </c>
    </row>
    <row r="7" spans="1:14" x14ac:dyDescent="0.25">
      <c r="A7" s="152" t="s">
        <v>428</v>
      </c>
      <c r="B7" s="179"/>
      <c r="C7" s="179"/>
      <c r="D7" s="179"/>
      <c r="E7" s="179"/>
      <c r="F7" s="179"/>
      <c r="G7" s="179"/>
      <c r="H7" s="179"/>
      <c r="I7" s="179"/>
      <c r="J7" s="179"/>
      <c r="K7" s="198"/>
      <c r="L7" s="179">
        <v>31400</v>
      </c>
      <c r="M7" s="179"/>
      <c r="N7" s="181">
        <f>SUM(B7:M7)</f>
        <v>31400</v>
      </c>
    </row>
    <row r="8" spans="1:14" x14ac:dyDescent="0.25">
      <c r="A8" s="204"/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1"/>
    </row>
    <row r="10" spans="1:14" x14ac:dyDescent="0.25">
      <c r="A10" s="158" t="s">
        <v>91</v>
      </c>
      <c r="B10" s="159">
        <f t="shared" ref="B10:H10" si="1">SUM(B3:B8)</f>
        <v>0</v>
      </c>
      <c r="C10" s="159">
        <f t="shared" si="1"/>
        <v>3790</v>
      </c>
      <c r="D10" s="159">
        <f t="shared" si="1"/>
        <v>3000</v>
      </c>
      <c r="E10" s="159">
        <f t="shared" si="1"/>
        <v>5000</v>
      </c>
      <c r="F10" s="159">
        <f t="shared" si="1"/>
        <v>3750</v>
      </c>
      <c r="G10" s="159">
        <f t="shared" si="1"/>
        <v>3590</v>
      </c>
      <c r="H10" s="159">
        <f t="shared" si="1"/>
        <v>0</v>
      </c>
      <c r="I10" s="159">
        <f t="shared" ref="I10:M10" si="2">SUM(I3:I8)</f>
        <v>9203.4500000000007</v>
      </c>
      <c r="J10" s="159">
        <f t="shared" si="2"/>
        <v>0</v>
      </c>
      <c r="K10" s="159">
        <f t="shared" si="2"/>
        <v>15000</v>
      </c>
      <c r="L10" s="159">
        <f>SUM(L3:L8)</f>
        <v>53900</v>
      </c>
      <c r="M10" s="159">
        <f t="shared" si="2"/>
        <v>0</v>
      </c>
      <c r="N10" s="159">
        <f>SUM(N3:N8)</f>
        <v>97233.45</v>
      </c>
    </row>
    <row r="12" spans="1:14" x14ac:dyDescent="0.25">
      <c r="N12" s="160">
        <f>SUM(B10:M10)-N10</f>
        <v>0</v>
      </c>
    </row>
  </sheetData>
  <phoneticPr fontId="22" type="noConversion"/>
  <pageMargins left="0.25" right="0.25" top="0.75" bottom="0.75" header="0.3" footer="0.3"/>
  <pageSetup paperSize="9" scale="97" firstPageNumber="42949672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11"/>
  <sheetViews>
    <sheetView workbookViewId="0">
      <selection activeCell="M7" sqref="M7"/>
    </sheetView>
  </sheetViews>
  <sheetFormatPr defaultRowHeight="15" x14ac:dyDescent="0.25"/>
  <cols>
    <col min="1" max="1" width="19.5703125" bestFit="1" customWidth="1"/>
    <col min="2" max="2" width="11.5703125" style="1" bestFit="1" customWidth="1"/>
    <col min="3" max="3" width="9.28515625" style="1" bestFit="1" customWidth="1"/>
    <col min="4" max="5" width="8.28515625" style="1" bestFit="1" customWidth="1"/>
    <col min="6" max="6" width="9.28515625" style="1" customWidth="1"/>
    <col min="7" max="7" width="9.28515625" style="1" bestFit="1" customWidth="1"/>
    <col min="8" max="13" width="8.28515625" style="1" bestFit="1" customWidth="1"/>
    <col min="14" max="14" width="12.85546875" style="1" bestFit="1" customWidth="1"/>
  </cols>
  <sheetData>
    <row r="1" spans="1:14" x14ac:dyDescent="0.25">
      <c r="A1" s="155" t="s">
        <v>30</v>
      </c>
      <c r="B1" s="135" t="str">
        <f>'ВСЕ затраты'!B1</f>
        <v>2023-2024гг.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9"/>
    </row>
    <row r="2" spans="1:14" x14ac:dyDescent="0.25">
      <c r="A2" s="156"/>
      <c r="B2" s="140" t="s">
        <v>9</v>
      </c>
      <c r="C2" s="138" t="s">
        <v>14</v>
      </c>
      <c r="D2" s="140" t="s">
        <v>15</v>
      </c>
      <c r="E2" s="138" t="s">
        <v>16</v>
      </c>
      <c r="F2" s="138" t="s">
        <v>17</v>
      </c>
      <c r="G2" s="138" t="s">
        <v>18</v>
      </c>
      <c r="H2" s="138" t="s">
        <v>19</v>
      </c>
      <c r="I2" s="138" t="s">
        <v>4</v>
      </c>
      <c r="J2" s="138" t="s">
        <v>5</v>
      </c>
      <c r="K2" s="138" t="s">
        <v>6</v>
      </c>
      <c r="L2" s="138" t="s">
        <v>7</v>
      </c>
      <c r="M2" s="138" t="s">
        <v>8</v>
      </c>
      <c r="N2" s="138"/>
    </row>
    <row r="3" spans="1:14" x14ac:dyDescent="0.25">
      <c r="A3" s="161"/>
      <c r="B3" s="144"/>
      <c r="C3" s="143"/>
      <c r="D3" s="144"/>
      <c r="E3" s="143"/>
      <c r="F3" s="143"/>
      <c r="G3" s="143"/>
      <c r="H3" s="143"/>
      <c r="I3" s="143"/>
      <c r="J3" s="143"/>
      <c r="K3" s="143"/>
      <c r="L3" s="143"/>
      <c r="M3" s="143"/>
      <c r="N3" s="147">
        <f t="shared" ref="N3:N8" si="0">SUM(B3:M3)</f>
        <v>0</v>
      </c>
    </row>
    <row r="4" spans="1:14" x14ac:dyDescent="0.25">
      <c r="A4" s="152" t="s">
        <v>103</v>
      </c>
      <c r="B4" s="179">
        <v>1200</v>
      </c>
      <c r="C4" s="179">
        <v>1200</v>
      </c>
      <c r="D4" s="179">
        <v>1200</v>
      </c>
      <c r="E4" s="179">
        <v>1200</v>
      </c>
      <c r="F4" s="179">
        <v>1200</v>
      </c>
      <c r="G4" s="179">
        <f>1200+1200</f>
        <v>2400</v>
      </c>
      <c r="H4" s="179">
        <v>1200</v>
      </c>
      <c r="I4" s="179">
        <v>1200</v>
      </c>
      <c r="J4" s="179">
        <v>1200</v>
      </c>
      <c r="K4" s="179">
        <v>1200</v>
      </c>
      <c r="L4" s="179">
        <v>1200</v>
      </c>
      <c r="M4" s="179">
        <v>1200</v>
      </c>
      <c r="N4" s="179">
        <f t="shared" si="0"/>
        <v>15600</v>
      </c>
    </row>
    <row r="5" spans="1:14" x14ac:dyDescent="0.25">
      <c r="A5" s="152" t="s">
        <v>104</v>
      </c>
      <c r="B5" s="179">
        <v>5000</v>
      </c>
      <c r="C5" s="179">
        <f>5000+5000</f>
        <v>10000</v>
      </c>
      <c r="D5" s="179">
        <v>5000</v>
      </c>
      <c r="E5" s="179">
        <v>5000</v>
      </c>
      <c r="F5" s="179">
        <v>6000</v>
      </c>
      <c r="G5" s="179">
        <f>6000+6000</f>
        <v>12000</v>
      </c>
      <c r="H5" s="179">
        <v>6000</v>
      </c>
      <c r="I5" s="179">
        <v>6000</v>
      </c>
      <c r="J5" s="179">
        <v>6000</v>
      </c>
      <c r="K5" s="179">
        <v>5000</v>
      </c>
      <c r="L5" s="179">
        <v>500</v>
      </c>
      <c r="M5" s="179">
        <v>500</v>
      </c>
      <c r="N5" s="179">
        <f t="shared" si="0"/>
        <v>67000</v>
      </c>
    </row>
    <row r="6" spans="1:14" x14ac:dyDescent="0.25">
      <c r="A6" s="152" t="s">
        <v>105</v>
      </c>
      <c r="B6" s="179">
        <v>1000</v>
      </c>
      <c r="C6" s="179">
        <f>1000+1000</f>
        <v>2000</v>
      </c>
      <c r="D6" s="179">
        <v>1000</v>
      </c>
      <c r="E6" s="179">
        <v>1000</v>
      </c>
      <c r="F6" s="179">
        <v>1000</v>
      </c>
      <c r="G6" s="179">
        <f>1000+1000</f>
        <v>2000</v>
      </c>
      <c r="H6" s="179">
        <v>1000</v>
      </c>
      <c r="I6" s="179">
        <v>1000</v>
      </c>
      <c r="J6" s="179">
        <v>1000</v>
      </c>
      <c r="K6" s="179">
        <v>1000</v>
      </c>
      <c r="L6" s="179">
        <v>100</v>
      </c>
      <c r="M6" s="179">
        <v>100</v>
      </c>
      <c r="N6" s="179">
        <f t="shared" si="0"/>
        <v>12200</v>
      </c>
    </row>
    <row r="7" spans="1:14" x14ac:dyDescent="0.25">
      <c r="A7" s="152" t="s">
        <v>426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>
        <v>4638.6000000000004</v>
      </c>
      <c r="M7" s="179"/>
      <c r="N7" s="179">
        <f t="shared" si="0"/>
        <v>4638.6000000000004</v>
      </c>
    </row>
    <row r="8" spans="1:14" x14ac:dyDescent="0.25">
      <c r="A8" s="152" t="s">
        <v>266</v>
      </c>
      <c r="B8" s="179"/>
      <c r="C8" s="179"/>
      <c r="D8" s="179"/>
      <c r="E8" s="179"/>
      <c r="F8" s="179">
        <v>3500</v>
      </c>
      <c r="G8" s="179"/>
      <c r="H8" s="179"/>
      <c r="I8" s="179"/>
      <c r="J8" s="179"/>
      <c r="K8" s="179"/>
      <c r="L8" s="179"/>
      <c r="M8" s="179"/>
      <c r="N8" s="179">
        <f t="shared" si="0"/>
        <v>3500</v>
      </c>
    </row>
    <row r="9" spans="1:14" x14ac:dyDescent="0.25">
      <c r="A9" s="162" t="s">
        <v>91</v>
      </c>
      <c r="B9" s="159">
        <f t="shared" ref="B9:M9" si="1">SUM(B3:B8)</f>
        <v>7200</v>
      </c>
      <c r="C9" s="159">
        <f t="shared" si="1"/>
        <v>13200</v>
      </c>
      <c r="D9" s="159">
        <f t="shared" si="1"/>
        <v>7200</v>
      </c>
      <c r="E9" s="159">
        <f t="shared" si="1"/>
        <v>7200</v>
      </c>
      <c r="F9" s="159">
        <f t="shared" si="1"/>
        <v>11700</v>
      </c>
      <c r="G9" s="159">
        <f t="shared" si="1"/>
        <v>16400</v>
      </c>
      <c r="H9" s="159">
        <f t="shared" si="1"/>
        <v>8200</v>
      </c>
      <c r="I9" s="159">
        <f t="shared" si="1"/>
        <v>8200</v>
      </c>
      <c r="J9" s="159">
        <f t="shared" si="1"/>
        <v>8200</v>
      </c>
      <c r="K9" s="159">
        <f t="shared" si="1"/>
        <v>7200</v>
      </c>
      <c r="L9" s="159">
        <f t="shared" si="1"/>
        <v>6438.6</v>
      </c>
      <c r="M9" s="159">
        <f t="shared" si="1"/>
        <v>1800</v>
      </c>
      <c r="N9" s="312">
        <f>SUM(N3:N8)</f>
        <v>102938.6</v>
      </c>
    </row>
    <row r="11" spans="1:14" x14ac:dyDescent="0.25">
      <c r="N11" s="160">
        <f>SUM(B9:M9)-N9</f>
        <v>0</v>
      </c>
    </row>
  </sheetData>
  <phoneticPr fontId="22" type="noConversion"/>
  <pageMargins left="0.7" right="0.7" top="0.75" bottom="0.75" header="0.3" footer="0.3"/>
  <pageSetup paperSize="9" firstPageNumber="42949672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"/>
    <pageSetUpPr fitToPage="1"/>
  </sheetPr>
  <dimension ref="A1:N11"/>
  <sheetViews>
    <sheetView workbookViewId="0">
      <selection activeCell="M4" sqref="M4"/>
    </sheetView>
  </sheetViews>
  <sheetFormatPr defaultRowHeight="15" x14ac:dyDescent="0.25"/>
  <cols>
    <col min="1" max="1" width="26.7109375" bestFit="1" customWidth="1"/>
    <col min="2" max="2" width="12.85546875" bestFit="1" customWidth="1"/>
    <col min="3" max="3" width="14.5703125" bestFit="1" customWidth="1"/>
    <col min="4" max="5" width="12.85546875" bestFit="1" customWidth="1"/>
    <col min="6" max="7" width="14.28515625" customWidth="1"/>
    <col min="8" max="8" width="12.85546875" bestFit="1" customWidth="1"/>
    <col min="9" max="9" width="14.5703125" bestFit="1" customWidth="1"/>
    <col min="10" max="13" width="12.85546875" bestFit="1" customWidth="1"/>
    <col min="14" max="14" width="15.5703125" bestFit="1" customWidth="1"/>
  </cols>
  <sheetData>
    <row r="1" spans="1:14" x14ac:dyDescent="0.25">
      <c r="A1" s="155" t="s">
        <v>106</v>
      </c>
      <c r="B1" s="135" t="str">
        <f>'ВСЕ затраты'!B1</f>
        <v>2023-2024гг.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4" x14ac:dyDescent="0.25">
      <c r="A2" s="156"/>
      <c r="B2" s="147" t="s">
        <v>9</v>
      </c>
      <c r="C2" s="147" t="s">
        <v>14</v>
      </c>
      <c r="D2" s="147" t="s">
        <v>15</v>
      </c>
      <c r="E2" s="147" t="s">
        <v>16</v>
      </c>
      <c r="F2" s="147" t="s">
        <v>17</v>
      </c>
      <c r="G2" s="147" t="s">
        <v>18</v>
      </c>
      <c r="H2" s="147" t="s">
        <v>19</v>
      </c>
      <c r="I2" s="147" t="s">
        <v>4</v>
      </c>
      <c r="J2" s="147" t="s">
        <v>5</v>
      </c>
      <c r="K2" s="147" t="s">
        <v>6</v>
      </c>
      <c r="L2" s="147" t="s">
        <v>7</v>
      </c>
      <c r="M2" s="147" t="s">
        <v>8</v>
      </c>
      <c r="N2" s="163" t="s">
        <v>91</v>
      </c>
    </row>
    <row r="3" spans="1:14" ht="25.5" customHeight="1" x14ac:dyDescent="0.25">
      <c r="A3" s="164" t="s">
        <v>107</v>
      </c>
      <c r="B3" s="193">
        <f>67466+4049.65+43221+148921.77+86283.53+8887.31+9383.24+36819+137344+40720</f>
        <v>583095.5</v>
      </c>
      <c r="C3" s="193">
        <f>156976.99+43221+96356.9+15000+7143.97+40020+51191+174914+4819.14+121611.42+65269.8+9702.73+53940+230962.95+236728.91-175105.91+102389+68766</f>
        <v>1303907.9000000001</v>
      </c>
      <c r="D3" s="193">
        <f>39914+4483+20000+10000+5827.49+6014.44+40020+167623+52032</f>
        <v>345913.93</v>
      </c>
      <c r="E3" s="193">
        <f>84984+46980+40020+5301.75+142911+52030+34800+180230.18+131811.37+0.25</f>
        <v>719068.54999999993</v>
      </c>
      <c r="F3" s="193">
        <f>47140+2243.47+21535+46982+18272+13207+40020+24012+15362+5000+188464.88+107175.5+6278.58+15225+52030+150433</f>
        <v>753380.42999999993</v>
      </c>
      <c r="G3" s="193">
        <f>42129+27465+26266.48+33160.29+47476+18009+40020+30095+41716+5000+6548.66+5827.49+153390.09+104244.96+36645+43934.26+139025+52025</f>
        <v>852977.23</v>
      </c>
      <c r="H3" s="193">
        <f>11612.62+46980+45116+31060.51+40020+30095+35301+39073.18+10179+111967+125659.75+125539+52030+65351-2661</f>
        <v>767323.06</v>
      </c>
      <c r="I3" s="193">
        <f>37009+62585+17708+46980+38557+3062.73+40020+30095+166458.9+161263.5+4418.78+10005+58032+121590+98796.81+43003.12</f>
        <v>939584.84</v>
      </c>
      <c r="J3" s="193">
        <f>37320+46980+47073+40020+30095+10005+53623+5832.14+21315+68485.5+124348.35+12292.2+75945.48+92732+30551+5002</f>
        <v>701619.67</v>
      </c>
      <c r="K3" s="193">
        <f>31164+42618+94582.92+141606.77+109222.82+35882.98+70115+58033+104769+10005</f>
        <v>697999.49</v>
      </c>
      <c r="L3" s="193">
        <f>36239+44061+79554.9+97232.42+78237.27+97391.61+109462.4+57633.6+94768</f>
        <v>694580.2</v>
      </c>
      <c r="M3" s="193">
        <f>24691+36569.6+46980+41157+22011+31151+40020+30095+11994.2+5003+146500.23+89950+8187.54+18899.28+57632+92595+39128+45268+70871</f>
        <v>858702.85000000009</v>
      </c>
      <c r="N3" s="197">
        <f>SUM(B3:M3)</f>
        <v>9218153.6500000004</v>
      </c>
    </row>
    <row r="4" spans="1:14" x14ac:dyDescent="0.25">
      <c r="A4" s="164" t="s">
        <v>125</v>
      </c>
      <c r="B4" s="194">
        <v>70000</v>
      </c>
      <c r="C4" s="193">
        <f>70000+10000</f>
        <v>80000</v>
      </c>
      <c r="D4" s="194">
        <v>80000</v>
      </c>
      <c r="E4" s="194">
        <v>80000</v>
      </c>
      <c r="F4" s="194">
        <v>80000</v>
      </c>
      <c r="G4" s="194">
        <f>80000+80000</f>
        <v>160000</v>
      </c>
      <c r="H4" s="194">
        <v>80000</v>
      </c>
      <c r="I4" s="194">
        <v>80000</v>
      </c>
      <c r="J4" s="193">
        <v>80000</v>
      </c>
      <c r="K4" s="193">
        <v>80000</v>
      </c>
      <c r="L4" s="193">
        <v>80000</v>
      </c>
      <c r="M4" s="193">
        <v>80000</v>
      </c>
      <c r="N4" s="197">
        <f>SUM(B4:M4)</f>
        <v>1030000</v>
      </c>
    </row>
    <row r="5" spans="1:14" x14ac:dyDescent="0.25">
      <c r="A5" s="165"/>
      <c r="B5" s="195"/>
      <c r="C5" s="187"/>
      <c r="D5" s="195"/>
      <c r="E5" s="195"/>
      <c r="F5" s="195"/>
      <c r="G5" s="195"/>
      <c r="H5" s="195"/>
      <c r="I5" s="195"/>
      <c r="J5" s="187"/>
      <c r="K5" s="187"/>
      <c r="L5" s="187"/>
      <c r="M5" s="187"/>
      <c r="N5" s="197"/>
    </row>
    <row r="6" spans="1:14" x14ac:dyDescent="0.25">
      <c r="A6" s="155" t="s">
        <v>91</v>
      </c>
      <c r="B6" s="196">
        <f t="shared" ref="B6:N6" si="0">SUM(B3:B5)</f>
        <v>653095.5</v>
      </c>
      <c r="C6" s="196">
        <f t="shared" si="0"/>
        <v>1383907.9000000001</v>
      </c>
      <c r="D6" s="196">
        <f t="shared" si="0"/>
        <v>425913.93</v>
      </c>
      <c r="E6" s="196">
        <f t="shared" si="0"/>
        <v>799068.54999999993</v>
      </c>
      <c r="F6" s="196">
        <f t="shared" si="0"/>
        <v>833380.42999999993</v>
      </c>
      <c r="G6" s="196">
        <f t="shared" si="0"/>
        <v>1012977.23</v>
      </c>
      <c r="H6" s="196">
        <f t="shared" si="0"/>
        <v>847323.06</v>
      </c>
      <c r="I6" s="196">
        <f t="shared" si="0"/>
        <v>1019584.84</v>
      </c>
      <c r="J6" s="196">
        <f t="shared" si="0"/>
        <v>781619.67</v>
      </c>
      <c r="K6" s="196">
        <f t="shared" si="0"/>
        <v>777999.49</v>
      </c>
      <c r="L6" s="196">
        <f t="shared" si="0"/>
        <v>774580.2</v>
      </c>
      <c r="M6" s="196">
        <f t="shared" si="0"/>
        <v>938702.85000000009</v>
      </c>
      <c r="N6" s="196">
        <f t="shared" si="0"/>
        <v>10248153.65</v>
      </c>
    </row>
    <row r="8" spans="1:14" x14ac:dyDescent="0.25">
      <c r="N8" s="160">
        <f>SUM(B6:M6)-N6</f>
        <v>0</v>
      </c>
    </row>
    <row r="10" spans="1:14" s="167" customFormat="1" ht="15.75" x14ac:dyDescent="0.25">
      <c r="M10" s="147"/>
    </row>
    <row r="11" spans="1:14" ht="18.75" x14ac:dyDescent="0.3">
      <c r="A11" s="168"/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94"/>
    </row>
  </sheetData>
  <phoneticPr fontId="22" type="noConversion"/>
  <pageMargins left="0.7" right="0.7" top="0.75" bottom="0.75" header="0.3" footer="0.3"/>
  <pageSetup paperSize="9" scale="82" firstPageNumber="42949672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8"/>
  <sheetViews>
    <sheetView workbookViewId="0">
      <selection activeCell="M3" sqref="M3"/>
    </sheetView>
  </sheetViews>
  <sheetFormatPr defaultRowHeight="15" x14ac:dyDescent="0.25"/>
  <cols>
    <col min="1" max="1" width="20.28515625" style="1" bestFit="1" customWidth="1"/>
    <col min="2" max="12" width="9.140625" style="1"/>
    <col min="13" max="14" width="15.5703125" style="1" bestFit="1" customWidth="1"/>
  </cols>
  <sheetData>
    <row r="1" spans="1:14" x14ac:dyDescent="0.25">
      <c r="A1" s="135" t="s">
        <v>33</v>
      </c>
      <c r="B1" s="135" t="str">
        <f>'ВСЕ затраты'!B1</f>
        <v>2023-2024гг.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9"/>
    </row>
    <row r="2" spans="1:14" x14ac:dyDescent="0.25">
      <c r="A2" s="139"/>
      <c r="B2" s="147" t="s">
        <v>9</v>
      </c>
      <c r="C2" s="138" t="s">
        <v>14</v>
      </c>
      <c r="D2" s="147" t="s">
        <v>15</v>
      </c>
      <c r="E2" s="138" t="s">
        <v>16</v>
      </c>
      <c r="F2" s="147" t="s">
        <v>17</v>
      </c>
      <c r="G2" s="138" t="s">
        <v>18</v>
      </c>
      <c r="H2" s="147" t="s">
        <v>19</v>
      </c>
      <c r="I2" s="138" t="s">
        <v>4</v>
      </c>
      <c r="J2" s="147" t="s">
        <v>5</v>
      </c>
      <c r="K2" s="138" t="s">
        <v>6</v>
      </c>
      <c r="L2" s="147" t="s">
        <v>7</v>
      </c>
      <c r="M2" s="138" t="s">
        <v>8</v>
      </c>
      <c r="N2" s="138"/>
    </row>
    <row r="3" spans="1:14" ht="29.25" customHeight="1" x14ac:dyDescent="0.25">
      <c r="A3" s="169" t="s">
        <v>108</v>
      </c>
      <c r="B3" s="179"/>
      <c r="C3" s="179">
        <f>7000+6610+27830+9740</f>
        <v>51180</v>
      </c>
      <c r="D3" s="179"/>
      <c r="E3" s="179">
        <f>5000+5000+5000+10000+15000</f>
        <v>40000</v>
      </c>
      <c r="F3" s="179">
        <v>5750</v>
      </c>
      <c r="G3" s="179"/>
      <c r="H3" s="179"/>
      <c r="I3" s="179"/>
      <c r="J3" s="179"/>
      <c r="K3" s="179"/>
      <c r="L3" s="179"/>
      <c r="M3" s="179">
        <f>35000+27840+34800+27840+40000+98310</f>
        <v>263790</v>
      </c>
      <c r="N3" s="179">
        <f>SUM(B3:M3)</f>
        <v>360720</v>
      </c>
    </row>
    <row r="4" spans="1:14" x14ac:dyDescent="0.25">
      <c r="A4" s="169" t="s">
        <v>138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>
        <f>SUM(B4:M4)</f>
        <v>0</v>
      </c>
    </row>
    <row r="5" spans="1:14" x14ac:dyDescent="0.25">
      <c r="A5" s="135" t="s">
        <v>91</v>
      </c>
      <c r="B5" s="186">
        <f t="shared" ref="B5:M5" si="0">SUM(B3:B4)</f>
        <v>0</v>
      </c>
      <c r="C5" s="186">
        <f t="shared" si="0"/>
        <v>51180</v>
      </c>
      <c r="D5" s="186">
        <f t="shared" si="0"/>
        <v>0</v>
      </c>
      <c r="E5" s="186">
        <f t="shared" si="0"/>
        <v>40000</v>
      </c>
      <c r="F5" s="186">
        <f t="shared" si="0"/>
        <v>5750</v>
      </c>
      <c r="G5" s="186">
        <f t="shared" si="0"/>
        <v>0</v>
      </c>
      <c r="H5" s="186">
        <f t="shared" si="0"/>
        <v>0</v>
      </c>
      <c r="I5" s="186">
        <f t="shared" si="0"/>
        <v>0</v>
      </c>
      <c r="J5" s="186">
        <f t="shared" si="0"/>
        <v>0</v>
      </c>
      <c r="K5" s="186">
        <f t="shared" si="0"/>
        <v>0</v>
      </c>
      <c r="L5" s="186">
        <f t="shared" si="0"/>
        <v>0</v>
      </c>
      <c r="M5" s="186">
        <f t="shared" si="0"/>
        <v>263790</v>
      </c>
      <c r="N5" s="186">
        <f>SUM(N3:N4)</f>
        <v>360720</v>
      </c>
    </row>
    <row r="6" spans="1:14" x14ac:dyDescent="0.25">
      <c r="C6" s="170"/>
      <c r="D6" s="170"/>
      <c r="E6" s="170"/>
      <c r="F6" s="170"/>
      <c r="G6" s="170"/>
      <c r="H6" s="170"/>
    </row>
    <row r="7" spans="1:14" x14ac:dyDescent="0.25">
      <c r="N7" s="160">
        <f>SUM(B5:M5)-N5</f>
        <v>0</v>
      </c>
    </row>
    <row r="8" spans="1:14" x14ac:dyDescent="0.25">
      <c r="A8" s="171"/>
    </row>
  </sheetData>
  <phoneticPr fontId="22" type="noConversion"/>
  <pageMargins left="0.7" right="0.7" top="0.75" bottom="0.75" header="0.3" footer="0.3"/>
  <pageSetup paperSize="9" scale="90" firstPageNumber="42949672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N14"/>
  <sheetViews>
    <sheetView workbookViewId="0">
      <selection activeCell="M3" sqref="M3"/>
    </sheetView>
  </sheetViews>
  <sheetFormatPr defaultRowHeight="15" x14ac:dyDescent="0.25"/>
  <cols>
    <col min="1" max="1" width="28.28515625" bestFit="1" customWidth="1"/>
    <col min="2" max="2" width="11.5703125" bestFit="1" customWidth="1"/>
    <col min="3" max="3" width="10.28515625" bestFit="1" customWidth="1"/>
    <col min="4" max="4" width="8" customWidth="1"/>
    <col min="5" max="5" width="10.28515625" bestFit="1" customWidth="1"/>
    <col min="6" max="6" width="10.140625" customWidth="1"/>
    <col min="7" max="7" width="10.7109375" customWidth="1"/>
    <col min="8" max="10" width="10.28515625" bestFit="1" customWidth="1"/>
    <col min="11" max="11" width="10.85546875" customWidth="1"/>
    <col min="12" max="13" width="10.28515625" bestFit="1" customWidth="1"/>
    <col min="14" max="14" width="11.85546875" bestFit="1" customWidth="1"/>
  </cols>
  <sheetData>
    <row r="1" spans="1:14" x14ac:dyDescent="0.25">
      <c r="A1" s="155" t="s">
        <v>34</v>
      </c>
      <c r="B1" s="135" t="str">
        <f>'ВСЕ затраты'!B1</f>
        <v>2023-2024гг.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4" x14ac:dyDescent="0.25">
      <c r="A2" s="156"/>
      <c r="B2" s="140" t="s">
        <v>9</v>
      </c>
      <c r="C2" s="138" t="s">
        <v>14</v>
      </c>
      <c r="D2" s="140" t="s">
        <v>15</v>
      </c>
      <c r="E2" s="138" t="s">
        <v>16</v>
      </c>
      <c r="F2" s="140" t="s">
        <v>17</v>
      </c>
      <c r="G2" s="138" t="s">
        <v>18</v>
      </c>
      <c r="H2" s="140" t="s">
        <v>19</v>
      </c>
      <c r="I2" s="138" t="s">
        <v>4</v>
      </c>
      <c r="J2" s="140" t="s">
        <v>5</v>
      </c>
      <c r="K2" s="138" t="s">
        <v>6</v>
      </c>
      <c r="L2" s="140" t="s">
        <v>7</v>
      </c>
      <c r="M2" s="138" t="s">
        <v>8</v>
      </c>
      <c r="N2" s="138"/>
    </row>
    <row r="3" spans="1:14" x14ac:dyDescent="0.25">
      <c r="A3" s="152" t="s">
        <v>109</v>
      </c>
      <c r="B3" s="179">
        <f>1241+186148.58</f>
        <v>187389.58</v>
      </c>
      <c r="C3" s="179">
        <f>1167.37+175105.91+1722.8+3250+258418.17-68766</f>
        <v>370898.25</v>
      </c>
      <c r="D3" s="179"/>
      <c r="E3" s="179">
        <f>1473.43+221013.6</f>
        <v>222487.03</v>
      </c>
      <c r="F3" s="179">
        <f>1618.82+242823.89</f>
        <v>244442.71000000002</v>
      </c>
      <c r="G3" s="179">
        <f>1533.52+230026.93</f>
        <v>231560.44999999998</v>
      </c>
      <c r="H3" s="179">
        <f>1589.09+238362.19</f>
        <v>239951.28</v>
      </c>
      <c r="I3" s="179">
        <f>1674.31+251147.12</f>
        <v>252821.43</v>
      </c>
      <c r="J3" s="179">
        <f>1610.72+241607.87</f>
        <v>243218.59</v>
      </c>
      <c r="K3" s="179">
        <f>1444.94+216743.28</f>
        <v>218188.22</v>
      </c>
      <c r="L3" s="179">
        <f>1420.06+213007.84</f>
        <v>214427.9</v>
      </c>
      <c r="M3" s="179">
        <f>1512.21+226831.84</f>
        <v>228344.05</v>
      </c>
      <c r="N3" s="181">
        <f>SUM(B3:M3)</f>
        <v>2653729.4899999998</v>
      </c>
    </row>
    <row r="4" spans="1:14" x14ac:dyDescent="0.25">
      <c r="A4" s="152"/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81">
        <f>SUM(B4:M4)</f>
        <v>0</v>
      </c>
    </row>
    <row r="5" spans="1:14" x14ac:dyDescent="0.25">
      <c r="A5" s="152" t="s">
        <v>110</v>
      </c>
      <c r="B5" s="179"/>
      <c r="C5" s="179"/>
      <c r="D5" s="179">
        <v>0.05</v>
      </c>
      <c r="E5" s="179"/>
      <c r="F5" s="179">
        <f>0.05+1.83+0.05</f>
        <v>1.9300000000000002</v>
      </c>
      <c r="G5" s="179"/>
      <c r="H5" s="179"/>
      <c r="I5" s="179"/>
      <c r="J5" s="179"/>
      <c r="K5" s="179"/>
      <c r="L5" s="179"/>
      <c r="M5" s="179"/>
      <c r="N5" s="181">
        <f>SUM(B5:M5)</f>
        <v>1.9800000000000002</v>
      </c>
    </row>
    <row r="6" spans="1:14" x14ac:dyDescent="0.25">
      <c r="A6" s="155" t="s">
        <v>91</v>
      </c>
      <c r="B6" s="186">
        <f t="shared" ref="B6:N6" si="0">SUM(B3:B5)</f>
        <v>187389.58</v>
      </c>
      <c r="C6" s="186">
        <f t="shared" si="0"/>
        <v>370898.25</v>
      </c>
      <c r="D6" s="186">
        <f t="shared" si="0"/>
        <v>0.05</v>
      </c>
      <c r="E6" s="186">
        <f t="shared" si="0"/>
        <v>222487.03</v>
      </c>
      <c r="F6" s="186">
        <f t="shared" si="0"/>
        <v>244444.64</v>
      </c>
      <c r="G6" s="186">
        <f t="shared" si="0"/>
        <v>231560.44999999998</v>
      </c>
      <c r="H6" s="186">
        <f t="shared" si="0"/>
        <v>239951.28</v>
      </c>
      <c r="I6" s="186">
        <f t="shared" si="0"/>
        <v>252821.43</v>
      </c>
      <c r="J6" s="186">
        <f t="shared" si="0"/>
        <v>243218.59</v>
      </c>
      <c r="K6" s="186">
        <f t="shared" si="0"/>
        <v>218188.22</v>
      </c>
      <c r="L6" s="186">
        <f t="shared" si="0"/>
        <v>214427.9</v>
      </c>
      <c r="M6" s="186">
        <f t="shared" si="0"/>
        <v>228344.05</v>
      </c>
      <c r="N6" s="186">
        <f t="shared" si="0"/>
        <v>2653731.4699999997</v>
      </c>
    </row>
    <row r="8" spans="1:14" x14ac:dyDescent="0.25">
      <c r="N8" s="160">
        <f>SUM(B6:M6)-N6</f>
        <v>0</v>
      </c>
    </row>
    <row r="9" spans="1:14" ht="15.75" hidden="1" x14ac:dyDescent="0.25">
      <c r="A9" s="417"/>
      <c r="B9" s="417"/>
      <c r="C9" s="417"/>
      <c r="D9" s="417"/>
      <c r="E9" s="417"/>
      <c r="F9" s="417"/>
      <c r="G9" s="417"/>
      <c r="H9" s="417"/>
      <c r="I9" s="417"/>
      <c r="J9" s="417"/>
      <c r="K9" s="417"/>
      <c r="L9" s="417"/>
    </row>
    <row r="10" spans="1:14" ht="15.75" hidden="1" x14ac:dyDescent="0.25">
      <c r="A10" s="417"/>
      <c r="B10" s="417"/>
      <c r="C10" s="417"/>
      <c r="D10" s="417"/>
      <c r="E10" s="417"/>
      <c r="F10" s="417"/>
      <c r="G10" s="417"/>
      <c r="H10" s="417"/>
      <c r="I10" s="417"/>
      <c r="J10" s="417"/>
      <c r="K10" s="417"/>
      <c r="L10" s="417"/>
    </row>
    <row r="11" spans="1:14" hidden="1" x14ac:dyDescent="0.25"/>
    <row r="12" spans="1:14" ht="15.75" hidden="1" x14ac:dyDescent="0.25">
      <c r="A12" s="115"/>
      <c r="B12" s="167"/>
      <c r="C12" s="167"/>
      <c r="D12" s="167"/>
      <c r="E12" s="167"/>
      <c r="F12" s="167"/>
      <c r="G12" s="167"/>
      <c r="H12" s="167"/>
      <c r="I12" s="167"/>
      <c r="J12" s="167"/>
      <c r="K12" s="167"/>
    </row>
    <row r="13" spans="1:14" ht="15.75" hidden="1" x14ac:dyDescent="0.25">
      <c r="A13" s="415"/>
      <c r="B13" s="415"/>
      <c r="C13" s="415"/>
      <c r="D13" s="415"/>
      <c r="E13" s="415"/>
      <c r="F13" s="415"/>
      <c r="G13" s="415"/>
      <c r="H13" s="415"/>
      <c r="I13" s="415"/>
      <c r="J13" s="415"/>
      <c r="K13" s="415"/>
      <c r="L13" s="416"/>
    </row>
    <row r="14" spans="1:14" hidden="1" x14ac:dyDescent="0.25"/>
  </sheetData>
  <mergeCells count="3">
    <mergeCell ref="A13:L13"/>
    <mergeCell ref="A9:L9"/>
    <mergeCell ref="A10:L10"/>
  </mergeCells>
  <phoneticPr fontId="22" type="noConversion"/>
  <pageMargins left="0.25" right="0.25" top="0.75" bottom="0.75" header="0.3" footer="0.3"/>
  <pageSetup paperSize="9" scale="97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</vt:i4>
      </vt:variant>
    </vt:vector>
  </HeadingPairs>
  <TitlesOfParts>
    <vt:vector size="17" baseType="lpstr">
      <vt:lpstr>ВСЕ затраты за 6 мес.</vt:lpstr>
      <vt:lpstr>ВСЕ затраты</vt:lpstr>
      <vt:lpstr>ВСЕ затраты в 2016-2017 гг (2)</vt:lpstr>
      <vt:lpstr>общехоз расходы</vt:lpstr>
      <vt:lpstr>прогр обесп</vt:lpstr>
      <vt:lpstr>связь</vt:lpstr>
      <vt:lpstr>з пл</vt:lpstr>
      <vt:lpstr>премии</vt:lpstr>
      <vt:lpstr>налог с ФОТ</vt:lpstr>
      <vt:lpstr>мусор</vt:lpstr>
      <vt:lpstr>вода</vt:lpstr>
      <vt:lpstr>канализация</vt:lpstr>
      <vt:lpstr>эл.снабж</vt:lpstr>
      <vt:lpstr>спец авто транспорт</vt:lpstr>
      <vt:lpstr>благ-во</vt:lpstr>
      <vt:lpstr>рез фонд</vt:lpstr>
      <vt:lpstr>'ВСЕ затраты'!Область_печати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soglasie1@outlook.com</cp:lastModifiedBy>
  <cp:revision>1</cp:revision>
  <cp:lastPrinted>2023-12-07T14:03:55Z</cp:lastPrinted>
  <dcterms:created xsi:type="dcterms:W3CDTF">2015-11-16T11:04:42Z</dcterms:created>
  <dcterms:modified xsi:type="dcterms:W3CDTF">2024-11-05T13:17:50Z</dcterms:modified>
</cp:coreProperties>
</file>