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gla\Desktop\"/>
    </mc:Choice>
  </mc:AlternateContent>
  <bookViews>
    <workbookView xWindow="-120" yWindow="-120" windowWidth="25440" windowHeight="15390" tabRatio="788" firstSheet="1" activeTab="1"/>
  </bookViews>
  <sheets>
    <sheet name="ВСЕ затраты за 6 мес." sheetId="1" state="hidden" r:id="rId1"/>
    <sheet name="ВСЕ затраты" sheetId="2" r:id="rId2"/>
    <sheet name="ВСЕ затраты в 2016-2017 гг (2)" sheetId="3" state="hidden" r:id="rId3"/>
    <sheet name="общехоз расходы" sheetId="4" r:id="rId4"/>
    <sheet name="прогр обесп" sheetId="5" r:id="rId5"/>
    <sheet name="связь" sheetId="6" r:id="rId6"/>
    <sheet name="з пл" sheetId="7" r:id="rId7"/>
    <sheet name="премии" sheetId="8" r:id="rId8"/>
    <sheet name="налог с ФОТ" sheetId="9" r:id="rId9"/>
    <sheet name="мусор" sheetId="12" r:id="rId10"/>
    <sheet name="вода" sheetId="14" r:id="rId11"/>
    <sheet name="канализация" sheetId="15" r:id="rId12"/>
    <sheet name="эл.снабж" sheetId="16" r:id="rId13"/>
    <sheet name="спец авто транспорт" sheetId="17" r:id="rId14"/>
    <sheet name="благ-во" sheetId="19" r:id="rId15"/>
    <sheet name="рез фонд" sheetId="20" r:id="rId16"/>
  </sheets>
  <definedNames>
    <definedName name="_xlnm._FilterDatabase" localSheetId="3" hidden="1">'общехоз расходы'!$A$1:$A$102</definedName>
    <definedName name="_xlnm.Print_Area" localSheetId="1">'ВСЕ затраты'!$A$1:$R$57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2" l="1"/>
  <c r="C3" i="7"/>
  <c r="E5" i="2"/>
  <c r="N47" i="17"/>
  <c r="C3" i="17"/>
  <c r="C5" i="17"/>
  <c r="C13" i="4"/>
  <c r="C15" i="4"/>
  <c r="C26" i="4"/>
  <c r="C47" i="17"/>
  <c r="N4" i="17"/>
  <c r="E56" i="2"/>
  <c r="E33" i="2"/>
  <c r="P33" i="2" s="1"/>
  <c r="R33" i="2" s="1"/>
  <c r="C3" i="9"/>
  <c r="C3" i="8"/>
  <c r="E25" i="2"/>
  <c r="C4" i="7"/>
  <c r="E32" i="2"/>
  <c r="C4" i="5"/>
  <c r="C9" i="17"/>
  <c r="C8" i="17"/>
  <c r="E10" i="2" l="1"/>
  <c r="E8" i="2"/>
  <c r="B3" i="7" l="1"/>
  <c r="B13" i="4" l="1"/>
  <c r="B15" i="4"/>
  <c r="B9" i="4" l="1"/>
  <c r="B5" i="17" l="1"/>
  <c r="B20" i="4"/>
  <c r="B21" i="4"/>
  <c r="B7" i="17"/>
  <c r="B9" i="15"/>
  <c r="B17" i="4" l="1"/>
  <c r="F22" i="2" l="1"/>
  <c r="G22" i="2"/>
  <c r="H22" i="2"/>
  <c r="I22" i="2"/>
  <c r="J22" i="2"/>
  <c r="K22" i="2"/>
  <c r="L22" i="2"/>
  <c r="M22" i="2"/>
  <c r="N22" i="2"/>
  <c r="O22" i="2"/>
  <c r="F27" i="2"/>
  <c r="G27" i="2"/>
  <c r="H27" i="2"/>
  <c r="I27" i="2"/>
  <c r="J27" i="2"/>
  <c r="K27" i="2"/>
  <c r="L27" i="2"/>
  <c r="M27" i="2"/>
  <c r="N27" i="2"/>
  <c r="O27" i="2"/>
  <c r="F26" i="2"/>
  <c r="G26" i="2"/>
  <c r="H26" i="2"/>
  <c r="I26" i="2"/>
  <c r="J26" i="2"/>
  <c r="K26" i="2"/>
  <c r="L26" i="2"/>
  <c r="M26" i="2"/>
  <c r="N26" i="2"/>
  <c r="O26" i="2"/>
  <c r="B16" i="4"/>
  <c r="D8" i="2" l="1"/>
  <c r="D5" i="2"/>
  <c r="B4" i="15" l="1"/>
  <c r="B64" i="15" s="1"/>
  <c r="D27" i="2" s="1"/>
  <c r="B10" i="4"/>
  <c r="B5" i="15"/>
  <c r="B3" i="9"/>
  <c r="B7" i="4"/>
  <c r="C45" i="2"/>
  <c r="C35" i="2"/>
  <c r="C33" i="2"/>
  <c r="N29" i="14" l="1"/>
  <c r="P6" i="2"/>
  <c r="N46" i="2" l="1"/>
  <c r="N7" i="5"/>
  <c r="L10" i="5"/>
  <c r="N70" i="16"/>
  <c r="N69" i="16"/>
  <c r="N68" i="16"/>
  <c r="N67" i="16"/>
  <c r="N66" i="16"/>
  <c r="L101" i="4"/>
  <c r="N18" i="2" s="1"/>
  <c r="N39" i="17"/>
  <c r="N38" i="17"/>
  <c r="N37" i="17"/>
  <c r="N42" i="17"/>
  <c r="N41" i="17"/>
  <c r="N40" i="17"/>
  <c r="N43" i="17"/>
  <c r="N44" i="17"/>
  <c r="N45" i="17"/>
  <c r="N63" i="16"/>
  <c r="N64" i="16"/>
  <c r="N65" i="16"/>
  <c r="N71" i="16"/>
  <c r="N72" i="16"/>
  <c r="N73" i="16"/>
  <c r="N74" i="16"/>
  <c r="N54" i="15"/>
  <c r="N55" i="15"/>
  <c r="N56" i="15"/>
  <c r="N57" i="15"/>
  <c r="N58" i="15"/>
  <c r="N59" i="15"/>
  <c r="N60" i="15"/>
  <c r="N61" i="15"/>
  <c r="N7" i="6"/>
  <c r="N59" i="16" l="1"/>
  <c r="N60" i="16"/>
  <c r="N61" i="16"/>
  <c r="N62" i="16"/>
  <c r="L14" i="2"/>
  <c r="M14" i="2"/>
  <c r="P39" i="2"/>
  <c r="N56" i="16" l="1"/>
  <c r="N57" i="16"/>
  <c r="N58" i="16"/>
  <c r="N34" i="17"/>
  <c r="N35" i="17"/>
  <c r="N36" i="17"/>
  <c r="N54" i="19"/>
  <c r="N55" i="19"/>
  <c r="N56" i="19"/>
  <c r="N57" i="19"/>
  <c r="N58" i="19"/>
  <c r="N59" i="19"/>
  <c r="M46" i="2"/>
  <c r="N13" i="20" l="1"/>
  <c r="N14" i="20"/>
  <c r="N15" i="20"/>
  <c r="N53" i="19" l="1"/>
  <c r="N60" i="19"/>
  <c r="N47" i="19"/>
  <c r="N48" i="19"/>
  <c r="N49" i="19"/>
  <c r="N50" i="19"/>
  <c r="N51" i="19"/>
  <c r="N52" i="19"/>
  <c r="N61" i="19"/>
  <c r="P10" i="2"/>
  <c r="P11" i="2"/>
  <c r="P12" i="2"/>
  <c r="L46" i="2"/>
  <c r="N29" i="17"/>
  <c r="N30" i="17"/>
  <c r="N31" i="17"/>
  <c r="N32" i="17"/>
  <c r="N33" i="17"/>
  <c r="N3" i="12" l="1"/>
  <c r="N48" i="15"/>
  <c r="N49" i="15"/>
  <c r="N50" i="15"/>
  <c r="N51" i="15"/>
  <c r="N52" i="15"/>
  <c r="N53" i="15"/>
  <c r="N50" i="16"/>
  <c r="N51" i="16"/>
  <c r="N52" i="16"/>
  <c r="N53" i="16"/>
  <c r="N54" i="16"/>
  <c r="N55" i="16"/>
  <c r="N75" i="16"/>
  <c r="K46" i="2"/>
  <c r="H62" i="19" l="1"/>
  <c r="H47" i="17"/>
  <c r="H77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F9" i="6" l="1"/>
  <c r="J46" i="2" l="1"/>
  <c r="N57" i="4" l="1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L10" i="12" l="1"/>
  <c r="N24" i="2" s="1"/>
  <c r="N4" i="12"/>
  <c r="N5" i="12"/>
  <c r="N6" i="12"/>
  <c r="N7" i="12"/>
  <c r="N8" i="12"/>
  <c r="N9" i="12"/>
  <c r="I10" i="12"/>
  <c r="K24" i="2" s="1"/>
  <c r="J10" i="12"/>
  <c r="L24" i="2" s="1"/>
  <c r="K10" i="12"/>
  <c r="M24" i="2" s="1"/>
  <c r="M10" i="12"/>
  <c r="O24" i="2" s="1"/>
  <c r="P9" i="2"/>
  <c r="N10" i="12" l="1"/>
  <c r="N46" i="15" l="1"/>
  <c r="N47" i="15"/>
  <c r="N62" i="15"/>
  <c r="N39" i="15"/>
  <c r="N40" i="15"/>
  <c r="N41" i="15"/>
  <c r="N42" i="15"/>
  <c r="N43" i="15"/>
  <c r="N44" i="15"/>
  <c r="G9" i="6"/>
  <c r="H9" i="6"/>
  <c r="I9" i="6"/>
  <c r="J9" i="6"/>
  <c r="K9" i="6"/>
  <c r="I46" i="2"/>
  <c r="N37" i="15"/>
  <c r="N38" i="15"/>
  <c r="N45" i="15"/>
  <c r="N63" i="15"/>
  <c r="I14" i="2"/>
  <c r="I15" i="2" s="1"/>
  <c r="N34" i="15"/>
  <c r="N35" i="15"/>
  <c r="N36" i="15"/>
  <c r="N29" i="16"/>
  <c r="N30" i="16"/>
  <c r="N31" i="16"/>
  <c r="N32" i="16"/>
  <c r="G14" i="2"/>
  <c r="H14" i="2"/>
  <c r="N33" i="15" l="1"/>
  <c r="N24" i="16"/>
  <c r="N25" i="16"/>
  <c r="N26" i="16"/>
  <c r="N27" i="16"/>
  <c r="N28" i="16"/>
  <c r="N32" i="15"/>
  <c r="D5" i="8" l="1"/>
  <c r="E5" i="8"/>
  <c r="F5" i="8"/>
  <c r="G5" i="8"/>
  <c r="H5" i="8"/>
  <c r="I5" i="8"/>
  <c r="J5" i="8"/>
  <c r="K5" i="8"/>
  <c r="L5" i="8"/>
  <c r="N28" i="15"/>
  <c r="N29" i="15"/>
  <c r="N30" i="15"/>
  <c r="N31" i="15"/>
  <c r="N23" i="15"/>
  <c r="N22" i="15"/>
  <c r="N24" i="15"/>
  <c r="N25" i="15"/>
  <c r="N26" i="15"/>
  <c r="N27" i="15"/>
  <c r="N8" i="20"/>
  <c r="N7" i="20" l="1"/>
  <c r="N6" i="20"/>
  <c r="N5" i="20"/>
  <c r="N4" i="20"/>
  <c r="D6" i="9" l="1"/>
  <c r="E6" i="9"/>
  <c r="F6" i="9"/>
  <c r="G6" i="9"/>
  <c r="H6" i="9"/>
  <c r="I6" i="9"/>
  <c r="J6" i="9"/>
  <c r="K6" i="9"/>
  <c r="L6" i="9"/>
  <c r="M6" i="9"/>
  <c r="N21" i="15"/>
  <c r="N6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46" i="17"/>
  <c r="N3" i="17"/>
  <c r="E47" i="17"/>
  <c r="F47" i="17"/>
  <c r="G47" i="17"/>
  <c r="I47" i="17"/>
  <c r="J47" i="17"/>
  <c r="K47" i="17"/>
  <c r="L47" i="17"/>
  <c r="M47" i="17"/>
  <c r="D47" i="17"/>
  <c r="D64" i="15"/>
  <c r="J14" i="2"/>
  <c r="K14" i="2"/>
  <c r="N14" i="2"/>
  <c r="O14" i="2"/>
  <c r="F14" i="2"/>
  <c r="N5" i="17" l="1"/>
  <c r="E14" i="2"/>
  <c r="E15" i="2" s="1"/>
  <c r="N11" i="15"/>
  <c r="E63" i="2" l="1"/>
  <c r="N7" i="17"/>
  <c r="N7" i="19"/>
  <c r="N8" i="19"/>
  <c r="N9" i="19"/>
  <c r="N10" i="19"/>
  <c r="N11" i="19"/>
  <c r="N12" i="19"/>
  <c r="N13" i="19"/>
  <c r="P41" i="2" l="1"/>
  <c r="R41" i="2" s="1"/>
  <c r="C41" i="2"/>
  <c r="C42" i="2"/>
  <c r="D55" i="20"/>
  <c r="F36" i="2" s="1"/>
  <c r="E55" i="20"/>
  <c r="G36" i="2" s="1"/>
  <c r="F55" i="20"/>
  <c r="H36" i="2" s="1"/>
  <c r="G55" i="20"/>
  <c r="I36" i="2" s="1"/>
  <c r="H55" i="20"/>
  <c r="J36" i="2" s="1"/>
  <c r="I55" i="20"/>
  <c r="K36" i="2" s="1"/>
  <c r="J55" i="20"/>
  <c r="L36" i="2" s="1"/>
  <c r="K55" i="20"/>
  <c r="M36" i="2" s="1"/>
  <c r="L55" i="20"/>
  <c r="N36" i="2" s="1"/>
  <c r="M55" i="20"/>
  <c r="O36" i="2" s="1"/>
  <c r="D62" i="19"/>
  <c r="F30" i="2" s="1"/>
  <c r="E62" i="19"/>
  <c r="G30" i="2" s="1"/>
  <c r="F62" i="19"/>
  <c r="H30" i="2" s="1"/>
  <c r="G62" i="19"/>
  <c r="I30" i="2" s="1"/>
  <c r="J30" i="2"/>
  <c r="I62" i="19"/>
  <c r="K30" i="2" s="1"/>
  <c r="J62" i="19"/>
  <c r="L30" i="2" s="1"/>
  <c r="K62" i="19"/>
  <c r="M30" i="2" s="1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F29" i="2"/>
  <c r="G29" i="2"/>
  <c r="H29" i="2"/>
  <c r="I29" i="2"/>
  <c r="J29" i="2"/>
  <c r="K29" i="2"/>
  <c r="L29" i="2"/>
  <c r="D77" i="16"/>
  <c r="F28" i="2" s="1"/>
  <c r="E77" i="16"/>
  <c r="G28" i="2" s="1"/>
  <c r="F77" i="16"/>
  <c r="H28" i="2" s="1"/>
  <c r="G77" i="16"/>
  <c r="I28" i="2" s="1"/>
  <c r="J28" i="2"/>
  <c r="I77" i="16"/>
  <c r="K28" i="2" s="1"/>
  <c r="E64" i="15"/>
  <c r="F64" i="15"/>
  <c r="G64" i="15"/>
  <c r="H64" i="15"/>
  <c r="I64" i="15"/>
  <c r="J64" i="15"/>
  <c r="K64" i="15"/>
  <c r="D32" i="14"/>
  <c r="E32" i="14"/>
  <c r="F32" i="14"/>
  <c r="G32" i="14"/>
  <c r="H32" i="14"/>
  <c r="I32" i="14"/>
  <c r="J32" i="14"/>
  <c r="K32" i="14"/>
  <c r="L32" i="14"/>
  <c r="M32" i="14"/>
  <c r="N19" i="2"/>
  <c r="I20" i="2"/>
  <c r="J20" i="2"/>
  <c r="K20" i="2"/>
  <c r="L20" i="2"/>
  <c r="M20" i="2"/>
  <c r="F23" i="2"/>
  <c r="G23" i="2"/>
  <c r="H23" i="2"/>
  <c r="I23" i="2"/>
  <c r="J23" i="2"/>
  <c r="J15" i="2"/>
  <c r="K15" i="2"/>
  <c r="L15" i="2"/>
  <c r="M15" i="2"/>
  <c r="N15" i="2"/>
  <c r="O15" i="2"/>
  <c r="R6" i="2"/>
  <c r="D6" i="7"/>
  <c r="F21" i="2" s="1"/>
  <c r="E6" i="7"/>
  <c r="G21" i="2" s="1"/>
  <c r="F6" i="7"/>
  <c r="H21" i="2" s="1"/>
  <c r="G6" i="7"/>
  <c r="I21" i="2" s="1"/>
  <c r="H6" i="7"/>
  <c r="J21" i="2" s="1"/>
  <c r="I6" i="7"/>
  <c r="K21" i="2" s="1"/>
  <c r="J6" i="7"/>
  <c r="L21" i="2" s="1"/>
  <c r="K6" i="7"/>
  <c r="M21" i="2" s="1"/>
  <c r="N4" i="5"/>
  <c r="N5" i="5"/>
  <c r="N6" i="5"/>
  <c r="N3" i="5"/>
  <c r="M10" i="5"/>
  <c r="O19" i="2" s="1"/>
  <c r="K10" i="5"/>
  <c r="M19" i="2" s="1"/>
  <c r="J10" i="5"/>
  <c r="L19" i="2" s="1"/>
  <c r="I10" i="5"/>
  <c r="K19" i="2" s="1"/>
  <c r="I101" i="4"/>
  <c r="K18" i="2" s="1"/>
  <c r="H101" i="4"/>
  <c r="J18" i="2" s="1"/>
  <c r="K101" i="4"/>
  <c r="M18" i="2" s="1"/>
  <c r="J101" i="4"/>
  <c r="L18" i="2" s="1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10" i="5" l="1"/>
  <c r="D14" i="2" l="1"/>
  <c r="N3" i="20"/>
  <c r="B62" i="19"/>
  <c r="N10" i="15"/>
  <c r="N12" i="15"/>
  <c r="N13" i="15"/>
  <c r="N14" i="15"/>
  <c r="N15" i="15"/>
  <c r="N16" i="15"/>
  <c r="N17" i="15"/>
  <c r="N9" i="15"/>
  <c r="N3" i="15"/>
  <c r="F15" i="2" l="1"/>
  <c r="G15" i="2"/>
  <c r="H15" i="2"/>
  <c r="N8" i="17" l="1"/>
  <c r="B47" i="17"/>
  <c r="D15" i="2"/>
  <c r="C62" i="19"/>
  <c r="E30" i="2" s="1"/>
  <c r="L62" i="19"/>
  <c r="N30" i="2" s="1"/>
  <c r="M62" i="19"/>
  <c r="O30" i="2" s="1"/>
  <c r="N5" i="15"/>
  <c r="N4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30" i="14"/>
  <c r="N31" i="14"/>
  <c r="N3" i="14"/>
  <c r="B55" i="20"/>
  <c r="D36" i="2" s="1"/>
  <c r="C55" i="20"/>
  <c r="E36" i="2" s="1"/>
  <c r="D63" i="2" l="1"/>
  <c r="P15" i="2"/>
  <c r="N32" i="14"/>
  <c r="N13" i="4"/>
  <c r="N14" i="4"/>
  <c r="N15" i="4"/>
  <c r="N16" i="4"/>
  <c r="N17" i="4"/>
  <c r="N18" i="4"/>
  <c r="N40" i="4" l="1"/>
  <c r="N41" i="4"/>
  <c r="C43" i="2"/>
  <c r="C44" i="2"/>
  <c r="C40" i="2"/>
  <c r="C39" i="2"/>
  <c r="C31" i="2"/>
  <c r="C30" i="2"/>
  <c r="Q30" i="2" s="1"/>
  <c r="C32" i="2"/>
  <c r="C34" i="2"/>
  <c r="C36" i="2"/>
  <c r="C22" i="2"/>
  <c r="Q22" i="2" s="1"/>
  <c r="C46" i="2" l="1"/>
  <c r="N4" i="19" l="1"/>
  <c r="N3" i="19"/>
  <c r="N41" i="19"/>
  <c r="N40" i="19"/>
  <c r="N6" i="19"/>
  <c r="N5" i="19"/>
  <c r="B9" i="6" l="1"/>
  <c r="C9" i="6"/>
  <c r="D9" i="6"/>
  <c r="F20" i="2" s="1"/>
  <c r="E9" i="6"/>
  <c r="G20" i="2" s="1"/>
  <c r="H20" i="2"/>
  <c r="L9" i="6"/>
  <c r="N20" i="2" s="1"/>
  <c r="M9" i="6"/>
  <c r="O20" i="2" s="1"/>
  <c r="E20" i="2" l="1"/>
  <c r="N12" i="4" l="1"/>
  <c r="N9" i="4"/>
  <c r="P43" i="2" l="1"/>
  <c r="R43" i="2" s="1"/>
  <c r="B46" i="2"/>
  <c r="N4" i="16"/>
  <c r="N5" i="16"/>
  <c r="N6" i="16"/>
  <c r="N7" i="16"/>
  <c r="N8" i="16"/>
  <c r="N9" i="16"/>
  <c r="N4" i="7"/>
  <c r="N16" i="20"/>
  <c r="K31" i="1"/>
  <c r="D29" i="2"/>
  <c r="E29" i="2"/>
  <c r="M29" i="2"/>
  <c r="N29" i="2"/>
  <c r="O29" i="2"/>
  <c r="B1" i="4"/>
  <c r="B101" i="4" s="1"/>
  <c r="P34" i="2"/>
  <c r="R34" i="2" s="1"/>
  <c r="P40" i="2"/>
  <c r="R40" i="2" s="1"/>
  <c r="M6" i="7"/>
  <c r="O21" i="2" s="1"/>
  <c r="N18" i="15"/>
  <c r="N19" i="15"/>
  <c r="N18" i="20"/>
  <c r="N20" i="15"/>
  <c r="N5" i="9"/>
  <c r="F101" i="4"/>
  <c r="H18" i="2" s="1"/>
  <c r="K77" i="16"/>
  <c r="M28" i="2" s="1"/>
  <c r="P32" i="2"/>
  <c r="R32" i="2" s="1"/>
  <c r="P8" i="2"/>
  <c r="C101" i="4"/>
  <c r="E18" i="2" s="1"/>
  <c r="C6" i="7"/>
  <c r="N7" i="15"/>
  <c r="N8" i="15"/>
  <c r="N3" i="6"/>
  <c r="D20" i="2"/>
  <c r="N6" i="4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7" i="20"/>
  <c r="N12" i="20"/>
  <c r="N11" i="20"/>
  <c r="N10" i="20"/>
  <c r="N9" i="20"/>
  <c r="B1" i="20"/>
  <c r="D30" i="2"/>
  <c r="N46" i="19"/>
  <c r="N45" i="19"/>
  <c r="N44" i="19"/>
  <c r="N43" i="19"/>
  <c r="N42" i="19"/>
  <c r="B1" i="19"/>
  <c r="D1" i="17"/>
  <c r="M77" i="16"/>
  <c r="O28" i="2" s="1"/>
  <c r="L77" i="16"/>
  <c r="N28" i="2" s="1"/>
  <c r="J77" i="16"/>
  <c r="L28" i="2" s="1"/>
  <c r="B77" i="16"/>
  <c r="D28" i="2" s="1"/>
  <c r="N76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3" i="16"/>
  <c r="B1" i="16"/>
  <c r="M64" i="15"/>
  <c r="L64" i="15"/>
  <c r="C64" i="15"/>
  <c r="E27" i="2" s="1"/>
  <c r="N6" i="15"/>
  <c r="B1" i="15"/>
  <c r="C32" i="14"/>
  <c r="E26" i="2" s="1"/>
  <c r="B32" i="14"/>
  <c r="D26" i="2" s="1"/>
  <c r="B1" i="14"/>
  <c r="H10" i="12"/>
  <c r="G10" i="12"/>
  <c r="I24" i="2" s="1"/>
  <c r="F10" i="12"/>
  <c r="H24" i="2" s="1"/>
  <c r="E10" i="12"/>
  <c r="G24" i="2" s="1"/>
  <c r="D10" i="12"/>
  <c r="F24" i="2" s="1"/>
  <c r="C10" i="12"/>
  <c r="E24" i="2" s="1"/>
  <c r="B10" i="12"/>
  <c r="D24" i="2" s="1"/>
  <c r="K20" i="1"/>
  <c r="B1" i="12"/>
  <c r="N21" i="1"/>
  <c r="O23" i="2"/>
  <c r="M23" i="2"/>
  <c r="L23" i="2"/>
  <c r="K23" i="2"/>
  <c r="C6" i="9"/>
  <c r="B6" i="9"/>
  <c r="D23" i="2" s="1"/>
  <c r="N4" i="9"/>
  <c r="N3" i="9"/>
  <c r="B1" i="9"/>
  <c r="M5" i="8"/>
  <c r="C5" i="8"/>
  <c r="E22" i="2" s="1"/>
  <c r="B5" i="8"/>
  <c r="D22" i="2" s="1"/>
  <c r="N4" i="8"/>
  <c r="N3" i="8"/>
  <c r="B1" i="8"/>
  <c r="L6" i="7"/>
  <c r="N21" i="2" s="1"/>
  <c r="B6" i="7"/>
  <c r="D21" i="2" s="1"/>
  <c r="B1" i="7"/>
  <c r="N6" i="6"/>
  <c r="N5" i="6"/>
  <c r="N4" i="6"/>
  <c r="B1" i="6"/>
  <c r="H10" i="5"/>
  <c r="J19" i="2" s="1"/>
  <c r="G10" i="5"/>
  <c r="I19" i="2" s="1"/>
  <c r="F10" i="5"/>
  <c r="H19" i="2" s="1"/>
  <c r="E10" i="5"/>
  <c r="G19" i="2" s="1"/>
  <c r="D10" i="5"/>
  <c r="F19" i="2" s="1"/>
  <c r="C10" i="5"/>
  <c r="E19" i="2" s="1"/>
  <c r="B10" i="5"/>
  <c r="N13" i="1" s="1"/>
  <c r="B1" i="5"/>
  <c r="M101" i="4"/>
  <c r="O18" i="2" s="1"/>
  <c r="G101" i="4"/>
  <c r="I18" i="2" s="1"/>
  <c r="E101" i="4"/>
  <c r="G18" i="2" s="1"/>
  <c r="D101" i="4"/>
  <c r="F18" i="2" s="1"/>
  <c r="N10" i="4"/>
  <c r="N8" i="4"/>
  <c r="N7" i="4"/>
  <c r="N5" i="4"/>
  <c r="N4" i="4"/>
  <c r="N3" i="4"/>
  <c r="S33" i="3"/>
  <c r="R33" i="3"/>
  <c r="Q33" i="3"/>
  <c r="P33" i="3"/>
  <c r="O33" i="3"/>
  <c r="N33" i="3"/>
  <c r="M33" i="3"/>
  <c r="L33" i="3"/>
  <c r="K33" i="3"/>
  <c r="J33" i="3"/>
  <c r="I33" i="3"/>
  <c r="H33" i="3"/>
  <c r="T32" i="3"/>
  <c r="G32" i="3"/>
  <c r="T31" i="3"/>
  <c r="G31" i="3"/>
  <c r="U31" i="3" s="1"/>
  <c r="T30" i="3"/>
  <c r="G30" i="3"/>
  <c r="T29" i="3"/>
  <c r="G29" i="3"/>
  <c r="T28" i="3"/>
  <c r="G28" i="3"/>
  <c r="U28" i="3" s="1"/>
  <c r="T27" i="3"/>
  <c r="G27" i="3"/>
  <c r="T26" i="3"/>
  <c r="G26" i="3"/>
  <c r="T25" i="3"/>
  <c r="G25" i="3"/>
  <c r="T24" i="3"/>
  <c r="F24" i="3"/>
  <c r="T23" i="3"/>
  <c r="G23" i="3"/>
  <c r="T22" i="3"/>
  <c r="G22" i="3"/>
  <c r="T21" i="3"/>
  <c r="G21" i="3"/>
  <c r="U21" i="3" s="1"/>
  <c r="T20" i="3"/>
  <c r="G20" i="3"/>
  <c r="U20" i="3" s="1"/>
  <c r="T19" i="3"/>
  <c r="G19" i="3"/>
  <c r="T18" i="3"/>
  <c r="G18" i="3"/>
  <c r="G33" i="3" s="1"/>
  <c r="T17" i="3"/>
  <c r="G17" i="3"/>
  <c r="T16" i="3"/>
  <c r="G16" i="3"/>
  <c r="T15" i="3"/>
  <c r="G15" i="3"/>
  <c r="U15" i="3" s="1"/>
  <c r="T14" i="3"/>
  <c r="G14" i="3"/>
  <c r="T13" i="3"/>
  <c r="G13" i="3"/>
  <c r="T12" i="3"/>
  <c r="T33" i="3" s="1"/>
  <c r="G12" i="3"/>
  <c r="F10" i="3"/>
  <c r="H9" i="3"/>
  <c r="T9" i="3" s="1"/>
  <c r="T8" i="3"/>
  <c r="T7" i="3"/>
  <c r="T6" i="3"/>
  <c r="T5" i="3"/>
  <c r="T4" i="3"/>
  <c r="G4" i="3"/>
  <c r="G10" i="3" s="1"/>
  <c r="R39" i="2"/>
  <c r="C29" i="2"/>
  <c r="Q29" i="2" s="1"/>
  <c r="C28" i="2"/>
  <c r="Q28" i="2" s="1"/>
  <c r="C27" i="2"/>
  <c r="Q27" i="2" s="1"/>
  <c r="C26" i="2"/>
  <c r="Q26" i="2" s="1"/>
  <c r="C25" i="2"/>
  <c r="Q25" i="2" s="1"/>
  <c r="C24" i="2"/>
  <c r="Q24" i="2" s="1"/>
  <c r="C23" i="2"/>
  <c r="Q23" i="2" s="1"/>
  <c r="C21" i="2"/>
  <c r="Q21" i="2" s="1"/>
  <c r="C20" i="2"/>
  <c r="Q20" i="2" s="1"/>
  <c r="C19" i="2"/>
  <c r="Q19" i="2" s="1"/>
  <c r="C18" i="2"/>
  <c r="B15" i="2"/>
  <c r="B16" i="2" s="1"/>
  <c r="C8" i="2"/>
  <c r="Q8" i="2" s="1"/>
  <c r="P7" i="2"/>
  <c r="C7" i="2"/>
  <c r="Q7" i="2" s="1"/>
  <c r="C5" i="2"/>
  <c r="Q3" i="2"/>
  <c r="P3" i="2"/>
  <c r="T32" i="1"/>
  <c r="S32" i="1"/>
  <c r="R32" i="1"/>
  <c r="Q32" i="1"/>
  <c r="P32" i="1"/>
  <c r="O32" i="1"/>
  <c r="G31" i="1"/>
  <c r="V31" i="1" s="1"/>
  <c r="N30" i="1"/>
  <c r="M30" i="1"/>
  <c r="L30" i="1"/>
  <c r="K30" i="1"/>
  <c r="J30" i="1"/>
  <c r="I30" i="1"/>
  <c r="U30" i="1" s="1"/>
  <c r="G30" i="1"/>
  <c r="V30" i="1" s="1"/>
  <c r="G29" i="1"/>
  <c r="V29" i="1" s="1"/>
  <c r="L28" i="1"/>
  <c r="G28" i="1"/>
  <c r="V28" i="1"/>
  <c r="N27" i="1"/>
  <c r="M27" i="1"/>
  <c r="L27" i="1"/>
  <c r="K27" i="1"/>
  <c r="J27" i="1"/>
  <c r="I27" i="1"/>
  <c r="U27" i="1" s="1"/>
  <c r="G27" i="1"/>
  <c r="V27" i="1"/>
  <c r="G26" i="1"/>
  <c r="V26" i="1"/>
  <c r="N25" i="1"/>
  <c r="M25" i="1"/>
  <c r="L25" i="1"/>
  <c r="K25" i="1"/>
  <c r="J25" i="1"/>
  <c r="I25" i="1"/>
  <c r="U25" i="1" s="1"/>
  <c r="G25" i="1"/>
  <c r="V25" i="1" s="1"/>
  <c r="N24" i="1"/>
  <c r="M24" i="1"/>
  <c r="L24" i="1"/>
  <c r="K24" i="1"/>
  <c r="J24" i="1"/>
  <c r="I24" i="1"/>
  <c r="U24" i="1" s="1"/>
  <c r="F24" i="1"/>
  <c r="G24" i="1" s="1"/>
  <c r="V24" i="1" s="1"/>
  <c r="W24" i="1" s="1"/>
  <c r="G23" i="1"/>
  <c r="V23" i="1" s="1"/>
  <c r="N22" i="1"/>
  <c r="M22" i="1"/>
  <c r="G22" i="1"/>
  <c r="V22" i="1"/>
  <c r="L21" i="1"/>
  <c r="I21" i="1"/>
  <c r="G21" i="1"/>
  <c r="V21" i="1"/>
  <c r="G20" i="1"/>
  <c r="G32" i="1" s="1"/>
  <c r="V32" i="1" s="1"/>
  <c r="G19" i="1"/>
  <c r="V19" i="1" s="1"/>
  <c r="N18" i="1"/>
  <c r="M18" i="1"/>
  <c r="L18" i="1"/>
  <c r="G18" i="1"/>
  <c r="V18" i="1" s="1"/>
  <c r="V17" i="1"/>
  <c r="M17" i="1"/>
  <c r="L17" i="1"/>
  <c r="K17" i="1"/>
  <c r="J17" i="1"/>
  <c r="I17" i="1"/>
  <c r="G17" i="1"/>
  <c r="G16" i="1"/>
  <c r="V16" i="1" s="1"/>
  <c r="N15" i="1"/>
  <c r="M15" i="1"/>
  <c r="L15" i="1"/>
  <c r="K15" i="1"/>
  <c r="J15" i="1"/>
  <c r="I15" i="1"/>
  <c r="U15" i="1" s="1"/>
  <c r="G15" i="1"/>
  <c r="V15" i="1"/>
  <c r="N14" i="1"/>
  <c r="L14" i="1"/>
  <c r="K14" i="1"/>
  <c r="G14" i="1"/>
  <c r="V14" i="1"/>
  <c r="L13" i="1"/>
  <c r="K13" i="1"/>
  <c r="J13" i="1"/>
  <c r="I13" i="1"/>
  <c r="G13" i="1"/>
  <c r="V13" i="1" s="1"/>
  <c r="N12" i="1"/>
  <c r="M12" i="1"/>
  <c r="L12" i="1"/>
  <c r="K12" i="1"/>
  <c r="J12" i="1"/>
  <c r="I12" i="1"/>
  <c r="G12" i="1"/>
  <c r="V12" i="1" s="1"/>
  <c r="N10" i="1"/>
  <c r="M10" i="1"/>
  <c r="L10" i="1"/>
  <c r="K10" i="1"/>
  <c r="J10" i="1"/>
  <c r="H10" i="1"/>
  <c r="F10" i="1"/>
  <c r="V9" i="1"/>
  <c r="I9" i="1"/>
  <c r="U9" i="1"/>
  <c r="W9" i="1" s="1"/>
  <c r="U8" i="1"/>
  <c r="I7" i="1"/>
  <c r="U7" i="1"/>
  <c r="G7" i="1"/>
  <c r="V7" i="1" s="1"/>
  <c r="U6" i="1"/>
  <c r="U5" i="1"/>
  <c r="G5" i="1"/>
  <c r="V5" i="1" s="1"/>
  <c r="L20" i="1"/>
  <c r="U19" i="3"/>
  <c r="U26" i="3"/>
  <c r="U22" i="3"/>
  <c r="U27" i="3"/>
  <c r="U32" i="3"/>
  <c r="H10" i="3"/>
  <c r="N3" i="7"/>
  <c r="M21" i="1"/>
  <c r="J22" i="1"/>
  <c r="U13" i="3"/>
  <c r="F33" i="3"/>
  <c r="G24" i="3"/>
  <c r="U24" i="3" s="1"/>
  <c r="K21" i="1"/>
  <c r="N11" i="4"/>
  <c r="N101" i="4" l="1"/>
  <c r="N102" i="4" s="1"/>
  <c r="O4" i="2"/>
  <c r="N4" i="2"/>
  <c r="M4" i="2"/>
  <c r="L4" i="2"/>
  <c r="K4" i="2"/>
  <c r="J4" i="2"/>
  <c r="I4" i="2"/>
  <c r="H4" i="2"/>
  <c r="G4" i="2"/>
  <c r="F4" i="2"/>
  <c r="J24" i="2"/>
  <c r="J37" i="2" s="1"/>
  <c r="J48" i="2" s="1"/>
  <c r="J64" i="2" s="1"/>
  <c r="N12" i="12"/>
  <c r="H37" i="2"/>
  <c r="G37" i="2"/>
  <c r="W25" i="1"/>
  <c r="F32" i="1"/>
  <c r="I10" i="1"/>
  <c r="U10" i="1" s="1"/>
  <c r="V20" i="1"/>
  <c r="W30" i="1"/>
  <c r="D4" i="2"/>
  <c r="E4" i="2"/>
  <c r="U14" i="3"/>
  <c r="U16" i="3"/>
  <c r="U18" i="3"/>
  <c r="U23" i="3"/>
  <c r="U29" i="3"/>
  <c r="N5" i="8"/>
  <c r="N7" i="8" s="1"/>
  <c r="N20" i="1"/>
  <c r="P22" i="2"/>
  <c r="R22" i="2" s="1"/>
  <c r="U12" i="3"/>
  <c r="W27" i="1"/>
  <c r="U17" i="3"/>
  <c r="L37" i="2"/>
  <c r="L48" i="2" s="1"/>
  <c r="L64" i="2" s="1"/>
  <c r="E23" i="2"/>
  <c r="M37" i="2"/>
  <c r="M48" i="2" s="1"/>
  <c r="M64" i="2" s="1"/>
  <c r="F37" i="2"/>
  <c r="I37" i="2"/>
  <c r="I48" i="2" s="1"/>
  <c r="I64" i="2" s="1"/>
  <c r="D19" i="2"/>
  <c r="N12" i="5"/>
  <c r="E21" i="2"/>
  <c r="P21" i="2" s="1"/>
  <c r="R21" i="2" s="1"/>
  <c r="O37" i="2"/>
  <c r="R7" i="2"/>
  <c r="R8" i="2"/>
  <c r="D18" i="2"/>
  <c r="N17" i="1"/>
  <c r="N16" i="1"/>
  <c r="Q18" i="2"/>
  <c r="C37" i="2"/>
  <c r="C48" i="2" s="1"/>
  <c r="N55" i="20"/>
  <c r="P36" i="2" s="1"/>
  <c r="R36" i="2" s="1"/>
  <c r="K28" i="1"/>
  <c r="B37" i="2"/>
  <c r="B48" i="2" s="1"/>
  <c r="N19" i="1"/>
  <c r="J28" i="1"/>
  <c r="L31" i="1"/>
  <c r="M31" i="1"/>
  <c r="I28" i="1"/>
  <c r="Q5" i="2"/>
  <c r="Q15" i="2" s="1"/>
  <c r="R15" i="2" s="1"/>
  <c r="M13" i="1"/>
  <c r="L26" i="1"/>
  <c r="M28" i="1"/>
  <c r="N9" i="6"/>
  <c r="N11" i="6" s="1"/>
  <c r="C15" i="2"/>
  <c r="N26" i="1"/>
  <c r="L23" i="1"/>
  <c r="K26" i="1"/>
  <c r="K18" i="1"/>
  <c r="K32" i="1"/>
  <c r="M23" i="1"/>
  <c r="I23" i="1"/>
  <c r="N31" i="1"/>
  <c r="K22" i="1"/>
  <c r="W5" i="1"/>
  <c r="G10" i="1"/>
  <c r="V10" i="1" s="1"/>
  <c r="W10" i="1" s="1"/>
  <c r="W15" i="1"/>
  <c r="T10" i="3"/>
  <c r="W7" i="1"/>
  <c r="J23" i="1"/>
  <c r="K19" i="1"/>
  <c r="I20" i="1"/>
  <c r="I22" i="1"/>
  <c r="M26" i="1"/>
  <c r="K29" i="1"/>
  <c r="M29" i="1"/>
  <c r="J19" i="1"/>
  <c r="J31" i="1"/>
  <c r="J14" i="1"/>
  <c r="J32" i="1" s="1"/>
  <c r="I19" i="1"/>
  <c r="I14" i="1"/>
  <c r="I32" i="1" s="1"/>
  <c r="I16" i="1"/>
  <c r="H46" i="2"/>
  <c r="O46" i="2"/>
  <c r="G46" i="2"/>
  <c r="E46" i="2"/>
  <c r="D46" i="2"/>
  <c r="M19" i="1"/>
  <c r="L19" i="1"/>
  <c r="F46" i="2"/>
  <c r="I31" i="1"/>
  <c r="N29" i="1"/>
  <c r="I29" i="1"/>
  <c r="N28" i="1"/>
  <c r="N23" i="1"/>
  <c r="K23" i="1"/>
  <c r="L22" i="1"/>
  <c r="J20" i="1"/>
  <c r="M20" i="1"/>
  <c r="J21" i="1"/>
  <c r="U21" i="1" s="1"/>
  <c r="W21" i="1" s="1"/>
  <c r="U17" i="1"/>
  <c r="W17" i="1" s="1"/>
  <c r="J16" i="1"/>
  <c r="K16" i="1"/>
  <c r="L16" i="1"/>
  <c r="M14" i="1"/>
  <c r="L32" i="1"/>
  <c r="I26" i="1"/>
  <c r="N6" i="9"/>
  <c r="U13" i="1"/>
  <c r="W13" i="1" s="1"/>
  <c r="U12" i="1"/>
  <c r="L29" i="1"/>
  <c r="P20" i="2"/>
  <c r="R20" i="2" s="1"/>
  <c r="J18" i="1"/>
  <c r="I18" i="1"/>
  <c r="M16" i="1"/>
  <c r="N23" i="2"/>
  <c r="P25" i="2"/>
  <c r="R25" i="2" s="1"/>
  <c r="N62" i="19"/>
  <c r="N10" i="16"/>
  <c r="N77" i="16" s="1"/>
  <c r="C77" i="16"/>
  <c r="E28" i="2" s="1"/>
  <c r="P29" i="2"/>
  <c r="R29" i="2" s="1"/>
  <c r="P44" i="2"/>
  <c r="R44" i="2" s="1"/>
  <c r="P5" i="2"/>
  <c r="N6" i="7"/>
  <c r="N8" i="7" s="1"/>
  <c r="U25" i="3"/>
  <c r="U33" i="3" s="1"/>
  <c r="U30" i="3"/>
  <c r="N4" i="15"/>
  <c r="N64" i="15" s="1"/>
  <c r="P42" i="2"/>
  <c r="R42" i="2" s="1"/>
  <c r="P31" i="2"/>
  <c r="R31" i="2" s="1"/>
  <c r="N66" i="15" l="1"/>
  <c r="P24" i="2"/>
  <c r="R24" i="2" s="1"/>
  <c r="P19" i="2"/>
  <c r="R19" i="2" s="1"/>
  <c r="N37" i="2"/>
  <c r="N48" i="2" s="1"/>
  <c r="N64" i="2" s="1"/>
  <c r="H48" i="2"/>
  <c r="H64" i="2" s="1"/>
  <c r="G48" i="2"/>
  <c r="G64" i="2" s="1"/>
  <c r="D37" i="2"/>
  <c r="D48" i="2" s="1"/>
  <c r="D65" i="2" s="1"/>
  <c r="N8" i="9"/>
  <c r="F48" i="2"/>
  <c r="F64" i="2" s="1"/>
  <c r="E37" i="2"/>
  <c r="E48" i="2" s="1"/>
  <c r="O48" i="2"/>
  <c r="O64" i="2" s="1"/>
  <c r="R5" i="2"/>
  <c r="K37" i="2"/>
  <c r="K48" i="2" s="1"/>
  <c r="K64" i="2" s="1"/>
  <c r="N57" i="20"/>
  <c r="N49" i="17"/>
  <c r="P27" i="2"/>
  <c r="R27" i="2" s="1"/>
  <c r="N34" i="14"/>
  <c r="P26" i="2"/>
  <c r="R26" i="2" s="1"/>
  <c r="U22" i="1"/>
  <c r="W22" i="1" s="1"/>
  <c r="P46" i="2"/>
  <c r="R46" i="2"/>
  <c r="U28" i="1"/>
  <c r="W28" i="1" s="1"/>
  <c r="U23" i="1"/>
  <c r="W23" i="1" s="1"/>
  <c r="U31" i="1"/>
  <c r="W31" i="1" s="1"/>
  <c r="U20" i="1"/>
  <c r="W20" i="1" s="1"/>
  <c r="M32" i="1"/>
  <c r="N64" i="19"/>
  <c r="U14" i="1"/>
  <c r="W14" i="1" s="1"/>
  <c r="U19" i="1"/>
  <c r="W19" i="1" s="1"/>
  <c r="N79" i="16"/>
  <c r="N32" i="1"/>
  <c r="U18" i="1"/>
  <c r="W18" i="1" s="1"/>
  <c r="U16" i="1"/>
  <c r="W16" i="1" s="1"/>
  <c r="W12" i="1"/>
  <c r="P28" i="2"/>
  <c r="R28" i="2" s="1"/>
  <c r="J26" i="1"/>
  <c r="U26" i="1" s="1"/>
  <c r="W26" i="1" s="1"/>
  <c r="P30" i="2"/>
  <c r="R30" i="2" s="1"/>
  <c r="J29" i="1"/>
  <c r="U29" i="1" s="1"/>
  <c r="W29" i="1" s="1"/>
  <c r="P18" i="2"/>
  <c r="R18" i="2" s="1"/>
  <c r="P23" i="2"/>
  <c r="R23" i="2" s="1"/>
  <c r="E64" i="2" l="1"/>
  <c r="D64" i="2"/>
  <c r="P37" i="2"/>
  <c r="P48" i="2" s="1"/>
  <c r="U32" i="1"/>
  <c r="W32" i="1"/>
  <c r="R37" i="2"/>
  <c r="R48" i="2" s="1"/>
</calcChain>
</file>

<file path=xl/sharedStrings.xml><?xml version="1.0" encoding="utf-8"?>
<sst xmlns="http://schemas.openxmlformats.org/spreadsheetml/2006/main" count="478" uniqueCount="220">
  <si>
    <t xml:space="preserve">Исполнение финансового плана ДНТ "КП "Согласие" за период с июня 2016 по май  2017 года </t>
  </si>
  <si>
    <t>Статьи поступления денежных средств</t>
  </si>
  <si>
    <t>Лимит на год</t>
  </si>
  <si>
    <t>Ост денег</t>
  </si>
  <si>
    <t>июнь</t>
  </si>
  <si>
    <t>июль</t>
  </si>
  <si>
    <t>август</t>
  </si>
  <si>
    <t>сентябрь</t>
  </si>
  <si>
    <t>октябрь</t>
  </si>
  <si>
    <t>ноябрь</t>
  </si>
  <si>
    <t>Итого за 6 мес.</t>
  </si>
  <si>
    <t>Бюджет          за 6 мес.</t>
  </si>
  <si>
    <t>Недобор(-) Перевыполн.(+)</t>
  </si>
  <si>
    <t xml:space="preserve"> 01.06.16</t>
  </si>
  <si>
    <t>декабрь</t>
  </si>
  <si>
    <t>январь</t>
  </si>
  <si>
    <t>февраль</t>
  </si>
  <si>
    <t>март</t>
  </si>
  <si>
    <t>апрель</t>
  </si>
  <si>
    <t>май</t>
  </si>
  <si>
    <t>Поступл. ден ср. от сбора член. взнос.</t>
  </si>
  <si>
    <t>ЦФ вступит.  взнос новых членов</t>
  </si>
  <si>
    <t>ЦФ взнос на содерж. дор. (опл.въезда)</t>
  </si>
  <si>
    <t>Пени за несв. уплату член взн.+ штраф</t>
  </si>
  <si>
    <t>Коммерч деят. +договора на обслуж.</t>
  </si>
  <si>
    <t xml:space="preserve">      ИТОГО ВЗНОСЫ И ДОХОДЫ</t>
  </si>
  <si>
    <t>Статьи расходования денежных средств</t>
  </si>
  <si>
    <t>Экономия(+)    Перерасход(-)</t>
  </si>
  <si>
    <t>Общехозяйственные расходы</t>
  </si>
  <si>
    <t>Программное обеспечение</t>
  </si>
  <si>
    <t>Услуги связи</t>
  </si>
  <si>
    <t>Юридические услуги</t>
  </si>
  <si>
    <t>Заработная плата    (15 человек)</t>
  </si>
  <si>
    <t>Премиальный фонд</t>
  </si>
  <si>
    <t>Налог с ФОТ</t>
  </si>
  <si>
    <t>Приобрет. инструмент, инвент.,оборуд</t>
  </si>
  <si>
    <t>Вывоз мусора</t>
  </si>
  <si>
    <t>Содержание охраны</t>
  </si>
  <si>
    <t>Содержание газового оборудования</t>
  </si>
  <si>
    <t>Содержание сетей водоснабжения</t>
  </si>
  <si>
    <t>Содерж. сетей канализ. и ремонт ОС</t>
  </si>
  <si>
    <t>Содержание сетей электроснабжения</t>
  </si>
  <si>
    <t>Э/энергия на общие нужды</t>
  </si>
  <si>
    <t>Технические и коммерческие потери</t>
  </si>
  <si>
    <t>Содержание дорог и уборка территор.</t>
  </si>
  <si>
    <t>Благоустройство территории</t>
  </si>
  <si>
    <t>Оформление земель общего польз.</t>
  </si>
  <si>
    <t>Резервный фонд 5%</t>
  </si>
  <si>
    <t xml:space="preserve">     ИТОГО РАСХОДЫ</t>
  </si>
  <si>
    <t>КОММЕНТАРИИ к статьям с перерасходом:</t>
  </si>
  <si>
    <t>ВЫВОЗ МУСОРА:</t>
  </si>
  <si>
    <t>Перерасход в июле связан с уплатой налога на негативное возд. на окруж среду за 2 кв. в сумме 80610 руб. и запретом на вывоз мусора в лес</t>
  </si>
  <si>
    <t>Финансовый год:</t>
  </si>
  <si>
    <t>Руб.</t>
  </si>
  <si>
    <t>Лимит на месяц</t>
  </si>
  <si>
    <t>Остаток на начало периода</t>
  </si>
  <si>
    <t>Поступл. ден ср. от сбора ЧВ</t>
  </si>
  <si>
    <t>ИТОГО ВЗНОСЫ И ДОХОДЫ</t>
  </si>
  <si>
    <t>ИТОГО С ВХОДЯЩИМ ОСТАТКОМ</t>
  </si>
  <si>
    <t xml:space="preserve">Заработная плата </t>
  </si>
  <si>
    <t>Электроснабжение</t>
  </si>
  <si>
    <t xml:space="preserve"> </t>
  </si>
  <si>
    <t>Фонд поощрения ПП</t>
  </si>
  <si>
    <t>Социальн. налоги с Фонда поощр. ПП</t>
  </si>
  <si>
    <t>ИТОГО РАСХОДЫ НА СОДЕРЖАНИЕ ТСН:</t>
  </si>
  <si>
    <t>РАСХОДЫ НА РАЗВИТИЕ ТСН, в том числе:</t>
  </si>
  <si>
    <t>Ремонт водопровода</t>
  </si>
  <si>
    <t>Финансовый план ДНТ "КП"Согласие" на 2016-2017 гг</t>
  </si>
  <si>
    <t xml:space="preserve">Исполнение финансового плана за период с июня 2016 по май  2017 года </t>
  </si>
  <si>
    <t xml:space="preserve">  Статья поступления денежных средств</t>
  </si>
  <si>
    <t>Бюджет на 2016/2017 гг.Лимит на</t>
  </si>
  <si>
    <t xml:space="preserve">Месячный </t>
  </si>
  <si>
    <t>Фактически</t>
  </si>
  <si>
    <t xml:space="preserve">итого с </t>
  </si>
  <si>
    <t>бюджет</t>
  </si>
  <si>
    <t>Поступление денеж средств от сбора член взноса</t>
  </si>
  <si>
    <t>ЦФ вступительный  взнос новых членов</t>
  </si>
  <si>
    <t>ЦФ Взнос на содержание дорог (оплата въезда)</t>
  </si>
  <si>
    <t>ЦФ взнос на реконструкцию газопровода</t>
  </si>
  <si>
    <t>Пени за несвоевр уплату член взносов+ штраф</t>
  </si>
  <si>
    <t>Коммерч деятельн +договора на обслуживание</t>
  </si>
  <si>
    <t xml:space="preserve">      ИТОГО</t>
  </si>
  <si>
    <t xml:space="preserve">   Расходная часть финансового плана по статьям (использование член взносов)</t>
  </si>
  <si>
    <t>экономия</t>
  </si>
  <si>
    <t>Приобретение инструмент, инвентарь,оборуд</t>
  </si>
  <si>
    <t>Содержание сетей канализ. и рем.очист. сооруж.</t>
  </si>
  <si>
    <t>Резерв оборот ср-в на покрытие несвоеврем опл</t>
  </si>
  <si>
    <t>Содержание дорог и уборка территории</t>
  </si>
  <si>
    <t>Оформление земель общего пользования</t>
  </si>
  <si>
    <t xml:space="preserve"> ИТОГО РАСХОДЫ</t>
  </si>
  <si>
    <t>ИТОГО</t>
  </si>
  <si>
    <t>АУПС</t>
  </si>
  <si>
    <t>Личн. а/транспорт</t>
  </si>
  <si>
    <t xml:space="preserve">Обслуж банка </t>
  </si>
  <si>
    <t>Сайт</t>
  </si>
  <si>
    <t>СБИС отчетность</t>
  </si>
  <si>
    <t>Интернет</t>
  </si>
  <si>
    <t>МТС</t>
  </si>
  <si>
    <t>Мегафон</t>
  </si>
  <si>
    <t>Заработная плата</t>
  </si>
  <si>
    <t>Заработная плата, отпускные</t>
  </si>
  <si>
    <t>Выплата премий сотрудникам</t>
  </si>
  <si>
    <t>Налоги в   ПФР, ФСС ФФОМС</t>
  </si>
  <si>
    <t>Пени, штрафы</t>
  </si>
  <si>
    <t>Содержание сетей канализации</t>
  </si>
  <si>
    <t>Электроэнергия на общие нужды</t>
  </si>
  <si>
    <t>Возмещение затрат на эл.эн.</t>
  </si>
  <si>
    <t xml:space="preserve">Благоустройство территории </t>
  </si>
  <si>
    <t>Резервный фонд</t>
  </si>
  <si>
    <t>УСН</t>
  </si>
  <si>
    <t>анализ воды</t>
  </si>
  <si>
    <t>Яндекс-диск</t>
  </si>
  <si>
    <t>Главный бухгалтер</t>
  </si>
  <si>
    <t>перчатки</t>
  </si>
  <si>
    <t>Начальный взнос за подключение</t>
  </si>
  <si>
    <t>хоз.товары</t>
  </si>
  <si>
    <t>ОСТАТОК денежных средств на конец расчетного периода</t>
  </si>
  <si>
    <t>Возврат денежных средств с п/о</t>
  </si>
  <si>
    <t>Возврат денежных средств прочий</t>
  </si>
  <si>
    <t>Баланс платежной системы</t>
  </si>
  <si>
    <t>Поступл. оплаты за въезд, пропуска</t>
  </si>
  <si>
    <t>Содержание канализации</t>
  </si>
  <si>
    <t>Содержание спецавтотехники, автотранспорта</t>
  </si>
  <si>
    <t>х</t>
  </si>
  <si>
    <t>Содержание спецавтотранспорта</t>
  </si>
  <si>
    <t>Поступление оплаты по коммерч. дог. , РСК, % по депозитам</t>
  </si>
  <si>
    <t>песок, щебень</t>
  </si>
  <si>
    <t>Пакеты</t>
  </si>
  <si>
    <t>Ростелеком</t>
  </si>
  <si>
    <t>ККТ</t>
  </si>
  <si>
    <t>устранение засора</t>
  </si>
  <si>
    <t>ТЕРМИНАЛ</t>
  </si>
  <si>
    <t>на начало</t>
  </si>
  <si>
    <t>на конец</t>
  </si>
  <si>
    <t>71сч. п/отчет</t>
  </si>
  <si>
    <t>БАНК 51 сч.</t>
  </si>
  <si>
    <t>приход</t>
  </si>
  <si>
    <t>расход</t>
  </si>
  <si>
    <t>2024-2025гг.</t>
  </si>
  <si>
    <t>Исполнение финансового плана ТСН "КП "Согласие" за ноябрь 2024 - октябрь 2025</t>
  </si>
  <si>
    <t>Фонд поощрения РК</t>
  </si>
  <si>
    <t>Социальн. налоги с Фонда поощр. РК</t>
  </si>
  <si>
    <t>Асфальтирование дорог, ямочный ремонт</t>
  </si>
  <si>
    <t>Пост охраны КПП-2</t>
  </si>
  <si>
    <t>Тех.проект ВЗУ</t>
  </si>
  <si>
    <t>Трактор с навесным оборудованием</t>
  </si>
  <si>
    <t>Ротор, крепление ротора</t>
  </si>
  <si>
    <t>Компрессор на ОС</t>
  </si>
  <si>
    <t>Оформление точки сброса</t>
  </si>
  <si>
    <t>хомут ремонтный</t>
  </si>
  <si>
    <t>кран-шар</t>
  </si>
  <si>
    <t>вода питьевая</t>
  </si>
  <si>
    <t>гос пошлина</t>
  </si>
  <si>
    <t>канц. Товары</t>
  </si>
  <si>
    <t>1С</t>
  </si>
  <si>
    <t>доставка</t>
  </si>
  <si>
    <t>Гринсервис</t>
  </si>
  <si>
    <t>илосос</t>
  </si>
  <si>
    <t>машина д/прочистки труб</t>
  </si>
  <si>
    <t>з/части</t>
  </si>
  <si>
    <t>баннер</t>
  </si>
  <si>
    <t>юр.усл. Оформление земли ОС</t>
  </si>
  <si>
    <t>ПРОВЕРКА</t>
  </si>
  <si>
    <t>эл.магн. Клапан</t>
  </si>
  <si>
    <t>услуги нотариуса</t>
  </si>
  <si>
    <t>пломба пластиковая</t>
  </si>
  <si>
    <t>почтовые расходы</t>
  </si>
  <si>
    <t>баннер новогодний 2 шт</t>
  </si>
  <si>
    <t>мешки для мусора</t>
  </si>
  <si>
    <t>пленка, газ.баллон, горелка</t>
  </si>
  <si>
    <t>пена монт., электроды, диск отр.</t>
  </si>
  <si>
    <t>светильник, лампы</t>
  </si>
  <si>
    <t>сверильник</t>
  </si>
  <si>
    <t>бензин А-95</t>
  </si>
  <si>
    <t>смазка, щетка для снега</t>
  </si>
  <si>
    <t>краска</t>
  </si>
  <si>
    <t>лопаты снег., скотч, мешки, хомуты</t>
  </si>
  <si>
    <t>спец.одежда</t>
  </si>
  <si>
    <t>диски отр.</t>
  </si>
  <si>
    <t>прокладка паронитовая</t>
  </si>
  <si>
    <t>пескобетон</t>
  </si>
  <si>
    <t>ель живая</t>
  </si>
  <si>
    <t>ключи гаечные</t>
  </si>
  <si>
    <t>молоток</t>
  </si>
  <si>
    <t>топор</t>
  </si>
  <si>
    <t>остаток на р/с</t>
  </si>
  <si>
    <t>Компенсация С2</t>
  </si>
  <si>
    <t>Компенсация судебных издержек</t>
  </si>
  <si>
    <t>Внутреннее перемещение ДС</t>
  </si>
  <si>
    <t>откачка МТК</t>
  </si>
  <si>
    <t>Госпошлина ТО тракторная техника</t>
  </si>
  <si>
    <t xml:space="preserve">              </t>
  </si>
  <si>
    <t>ТО Ларгус + запчасти</t>
  </si>
  <si>
    <t>Рег. Оператор</t>
  </si>
  <si>
    <t>гос.пошлина суд должники</t>
  </si>
  <si>
    <t>изготовление пропусков</t>
  </si>
  <si>
    <t>объявления по поиску сотрудников</t>
  </si>
  <si>
    <t>муфта, нипель, лен</t>
  </si>
  <si>
    <t>тепловентилятор</t>
  </si>
  <si>
    <t>щетки стеклоочистителя</t>
  </si>
  <si>
    <t>стеклоочиститель</t>
  </si>
  <si>
    <t>ремни</t>
  </si>
  <si>
    <t>ДТ</t>
  </si>
  <si>
    <t>дистилированная вода</t>
  </si>
  <si>
    <t>бензин А-92</t>
  </si>
  <si>
    <t>подшипник универсальный</t>
  </si>
  <si>
    <t>уголок крепежный</t>
  </si>
  <si>
    <t>терморегулятор</t>
  </si>
  <si>
    <t>лампы</t>
  </si>
  <si>
    <t>огнетушитель</t>
  </si>
  <si>
    <t>картридж д/принтера</t>
  </si>
  <si>
    <t>арматура</t>
  </si>
  <si>
    <t>крепеж</t>
  </si>
  <si>
    <t>масл.радиатор</t>
  </si>
  <si>
    <t>стиральный порошок</t>
  </si>
  <si>
    <t>светильник уличный</t>
  </si>
  <si>
    <t>автомат,Ю розетка, гофра</t>
  </si>
  <si>
    <t>трос д/снегоуборочника</t>
  </si>
  <si>
    <t>фонарь задний, стеклоочиститель</t>
  </si>
  <si>
    <t>Депозит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</si>
</sst>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b/>
      <sz val="14"/>
      <color indexed="64"/>
      <name val="Arial"/>
      <family val="2"/>
      <charset val="204"/>
    </font>
    <font>
      <b/>
      <sz val="11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2"/>
      <color indexed="64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color indexed="64"/>
      <name val="Calibri"/>
      <family val="2"/>
      <charset val="204"/>
    </font>
    <font>
      <sz val="11"/>
      <color indexed="64"/>
      <name val="Arial"/>
      <family val="2"/>
      <charset val="204"/>
    </font>
    <font>
      <b/>
      <i/>
      <sz val="10"/>
      <color indexed="64"/>
      <name val="Arial"/>
      <family val="2"/>
      <charset val="204"/>
    </font>
    <font>
      <b/>
      <i/>
      <sz val="10"/>
      <color indexed="64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name val="Calibri"/>
      <family val="2"/>
      <charset val="204"/>
    </font>
    <font>
      <b/>
      <i/>
      <sz val="12"/>
      <color indexed="64"/>
      <name val="Calibri"/>
      <family val="2"/>
      <charset val="204"/>
    </font>
    <font>
      <b/>
      <i/>
      <sz val="11"/>
      <color indexed="64"/>
      <name val="Calibri"/>
      <family val="2"/>
      <charset val="204"/>
    </font>
    <font>
      <i/>
      <sz val="11"/>
      <color indexed="64"/>
      <name val="Calibri"/>
      <family val="2"/>
      <charset val="204"/>
    </font>
    <font>
      <b/>
      <i/>
      <sz val="11"/>
      <color indexed="17"/>
      <name val="Calibri"/>
      <family val="2"/>
      <charset val="204"/>
    </font>
    <font>
      <b/>
      <sz val="10"/>
      <name val="Arial Cyr"/>
    </font>
    <font>
      <sz val="10"/>
      <color indexed="2"/>
      <name val="Arial Cyr"/>
    </font>
    <font>
      <b/>
      <sz val="14"/>
      <color indexed="64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Calibri"/>
      <family val="2"/>
      <charset val="204"/>
    </font>
    <font>
      <sz val="11"/>
      <color indexed="55"/>
      <name val="Calibri"/>
      <family val="2"/>
      <charset val="204"/>
    </font>
    <font>
      <sz val="12"/>
      <name val="Calibri"/>
      <family val="2"/>
      <charset val="204"/>
    </font>
    <font>
      <sz val="12"/>
      <color indexed="55"/>
      <name val="Calibri"/>
      <family val="2"/>
      <charset val="204"/>
    </font>
    <font>
      <sz val="12"/>
      <color theme="0" tint="-0.249977111117893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indexed="64"/>
      <name val="Calibri"/>
      <family val="2"/>
      <charset val="204"/>
    </font>
    <font>
      <b/>
      <sz val="12"/>
      <color rgb="FFCC0099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i/>
      <sz val="12"/>
      <color indexed="64"/>
      <name val="Calibri"/>
      <family val="2"/>
      <charset val="204"/>
    </font>
    <font>
      <b/>
      <u/>
      <sz val="12"/>
      <name val="Calibri"/>
      <family val="2"/>
      <charset val="204"/>
    </font>
    <font>
      <b/>
      <u val="singleAccounting"/>
      <sz val="12"/>
      <name val="Calibri"/>
      <family val="2"/>
      <charset val="204"/>
    </font>
    <font>
      <b/>
      <i/>
      <u/>
      <sz val="18"/>
      <color indexed="64"/>
      <name val="Calibri"/>
      <family val="2"/>
      <charset val="204"/>
    </font>
    <font>
      <b/>
      <sz val="12"/>
      <color theme="0" tint="-0.499984740745262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sz val="10"/>
      <color rgb="FFFF0000"/>
      <name val="Arial Cyr"/>
    </font>
    <font>
      <sz val="10"/>
      <name val="Arial Cyr"/>
      <charset val="204"/>
    </font>
    <font>
      <sz val="12"/>
      <color theme="0" tint="-0.34998626667073579"/>
      <name val="Calibri"/>
      <family val="2"/>
      <charset val="204"/>
    </font>
    <font>
      <b/>
      <sz val="12"/>
      <color theme="0" tint="-0.34998626667073579"/>
      <name val="Calibri"/>
      <family val="2"/>
      <charset val="204"/>
    </font>
    <font>
      <sz val="11"/>
      <color theme="0" tint="-0.34998626667073579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5"/>
        <bgColor indexed="45"/>
      </patternFill>
    </fill>
    <fill>
      <patternFill patternType="solid">
        <fgColor indexed="6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2"/>
        <bgColor indexed="42"/>
      </patternFill>
    </fill>
    <fill>
      <patternFill patternType="solid">
        <fgColor indexed="3"/>
        <bgColor indexed="3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5"/>
        <bgColor indexed="5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7" fillId="0" borderId="0"/>
    <xf numFmtId="43" fontId="8" fillId="0" borderId="0" applyFont="0" applyFill="0" applyBorder="0" applyProtection="0"/>
  </cellStyleXfs>
  <cellXfs count="441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9" fillId="0" borderId="3" xfId="0" applyFont="1" applyBorder="1" applyAlignment="1">
      <alignment horizontal="center" vertical="center"/>
    </xf>
    <xf numFmtId="0" fontId="0" fillId="3" borderId="3" xfId="0" applyFill="1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5" fillId="0" borderId="6" xfId="0" applyFont="1" applyBorder="1"/>
    <xf numFmtId="0" fontId="15" fillId="0" borderId="7" xfId="0" applyFont="1" applyBorder="1"/>
    <xf numFmtId="3" fontId="13" fillId="4" borderId="8" xfId="0" applyNumberFormat="1" applyFont="1" applyFill="1" applyBorder="1" applyAlignment="1">
      <alignment horizontal="center"/>
    </xf>
    <xf numFmtId="3" fontId="13" fillId="5" borderId="8" xfId="0" applyNumberFormat="1" applyFont="1" applyFill="1" applyBorder="1" applyAlignment="1">
      <alignment horizontal="center"/>
    </xf>
    <xf numFmtId="3" fontId="15" fillId="2" borderId="8" xfId="0" applyNumberFormat="1" applyFont="1" applyFill="1" applyBorder="1"/>
    <xf numFmtId="3" fontId="15" fillId="2" borderId="8" xfId="0" applyNumberFormat="1" applyFont="1" applyFill="1" applyBorder="1" applyAlignment="1">
      <alignment horizontal="center"/>
    </xf>
    <xf numFmtId="3" fontId="15" fillId="2" borderId="8" xfId="0" applyNumberFormat="1" applyFont="1" applyFill="1" applyBorder="1" applyAlignment="1">
      <alignment horizontal="center" vertical="center"/>
    </xf>
    <xf numFmtId="3" fontId="15" fillId="6" borderId="8" xfId="0" applyNumberFormat="1" applyFont="1" applyFill="1" applyBorder="1" applyAlignment="1">
      <alignment horizontal="center" vertical="center"/>
    </xf>
    <xf numFmtId="3" fontId="15" fillId="0" borderId="8" xfId="0" applyNumberFormat="1" applyFont="1" applyBorder="1"/>
    <xf numFmtId="3" fontId="16" fillId="3" borderId="8" xfId="0" applyNumberFormat="1" applyFont="1" applyFill="1" applyBorder="1"/>
    <xf numFmtId="3" fontId="13" fillId="0" borderId="8" xfId="0" applyNumberFormat="1" applyFont="1" applyBorder="1" applyAlignment="1">
      <alignment horizontal="center"/>
    </xf>
    <xf numFmtId="3" fontId="13" fillId="0" borderId="4" xfId="0" applyNumberFormat="1" applyFont="1" applyBorder="1" applyAlignment="1">
      <alignment horizontal="center"/>
    </xf>
    <xf numFmtId="3" fontId="13" fillId="7" borderId="8" xfId="0" applyNumberFormat="1" applyFont="1" applyFill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8" xfId="0" applyFont="1" applyBorder="1"/>
    <xf numFmtId="0" fontId="15" fillId="0" borderId="8" xfId="0" applyFont="1" applyBorder="1" applyAlignment="1">
      <alignment horizontal="center" vertical="center"/>
    </xf>
    <xf numFmtId="0" fontId="16" fillId="3" borderId="8" xfId="0" applyFont="1" applyFill="1" applyBorder="1"/>
    <xf numFmtId="0" fontId="13" fillId="7" borderId="9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1" fontId="13" fillId="5" borderId="8" xfId="0" applyNumberFormat="1" applyFont="1" applyFill="1" applyBorder="1" applyAlignment="1">
      <alignment horizontal="center"/>
    </xf>
    <xf numFmtId="3" fontId="15" fillId="0" borderId="8" xfId="0" applyNumberFormat="1" applyFont="1" applyBorder="1" applyAlignment="1">
      <alignment horizontal="center"/>
    </xf>
    <xf numFmtId="3" fontId="15" fillId="0" borderId="8" xfId="0" applyNumberFormat="1" applyFont="1" applyBorder="1" applyAlignment="1">
      <alignment horizontal="center" vertical="center"/>
    </xf>
    <xf numFmtId="0" fontId="13" fillId="7" borderId="8" xfId="0" applyFont="1" applyFill="1" applyBorder="1" applyAlignment="1">
      <alignment horizontal="center"/>
    </xf>
    <xf numFmtId="0" fontId="15" fillId="0" borderId="10" xfId="0" applyFont="1" applyBorder="1"/>
    <xf numFmtId="0" fontId="15" fillId="0" borderId="11" xfId="0" applyFont="1" applyBorder="1"/>
    <xf numFmtId="0" fontId="15" fillId="0" borderId="12" xfId="0" applyFont="1" applyBorder="1"/>
    <xf numFmtId="0" fontId="15" fillId="0" borderId="10" xfId="0" applyFont="1" applyBorder="1" applyAlignment="1">
      <alignment horizontal="center"/>
    </xf>
    <xf numFmtId="3" fontId="15" fillId="2" borderId="10" xfId="0" applyNumberFormat="1" applyFont="1" applyFill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10" xfId="0" applyFont="1" applyFill="1" applyBorder="1"/>
    <xf numFmtId="0" fontId="15" fillId="2" borderId="10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3" fontId="15" fillId="0" borderId="10" xfId="0" applyNumberFormat="1" applyFont="1" applyBorder="1"/>
    <xf numFmtId="0" fontId="16" fillId="3" borderId="10" xfId="0" applyFont="1" applyFill="1" applyBorder="1"/>
    <xf numFmtId="3" fontId="13" fillId="0" borderId="10" xfId="0" applyNumberFormat="1" applyFont="1" applyBorder="1" applyAlignment="1">
      <alignment horizontal="center"/>
    </xf>
    <xf numFmtId="3" fontId="13" fillId="0" borderId="11" xfId="0" applyNumberFormat="1" applyFont="1" applyBorder="1" applyAlignment="1">
      <alignment horizontal="center"/>
    </xf>
    <xf numFmtId="3" fontId="13" fillId="7" borderId="10" xfId="0" applyNumberFormat="1" applyFont="1" applyFill="1" applyBorder="1" applyAlignment="1">
      <alignment horizontal="center"/>
    </xf>
    <xf numFmtId="3" fontId="13" fillId="4" borderId="5" xfId="0" applyNumberFormat="1" applyFont="1" applyFill="1" applyBorder="1" applyAlignment="1">
      <alignment horizontal="center"/>
    </xf>
    <xf numFmtId="3" fontId="13" fillId="5" borderId="5" xfId="0" applyNumberFormat="1" applyFont="1" applyFill="1" applyBorder="1" applyAlignment="1">
      <alignment horizontal="center"/>
    </xf>
    <xf numFmtId="3" fontId="13" fillId="0" borderId="5" xfId="0" applyNumberFormat="1" applyFont="1" applyBorder="1"/>
    <xf numFmtId="3" fontId="13" fillId="2" borderId="5" xfId="0" applyNumberFormat="1" applyFont="1" applyFill="1" applyBorder="1" applyAlignment="1">
      <alignment horizontal="center"/>
    </xf>
    <xf numFmtId="3" fontId="15" fillId="0" borderId="5" xfId="0" applyNumberFormat="1" applyFont="1" applyBorder="1"/>
    <xf numFmtId="3" fontId="16" fillId="3" borderId="5" xfId="0" applyNumberFormat="1" applyFont="1" applyFill="1" applyBorder="1"/>
    <xf numFmtId="3" fontId="13" fillId="0" borderId="5" xfId="0" applyNumberFormat="1" applyFont="1" applyBorder="1" applyAlignment="1">
      <alignment horizontal="center"/>
    </xf>
    <xf numFmtId="3" fontId="13" fillId="7" borderId="5" xfId="0" applyNumberFormat="1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7" xfId="0" applyFont="1" applyBorder="1"/>
    <xf numFmtId="0" fontId="13" fillId="0" borderId="7" xfId="0" applyFont="1" applyBorder="1" applyAlignment="1">
      <alignment horizontal="center" vertical="center"/>
    </xf>
    <xf numFmtId="0" fontId="17" fillId="3" borderId="7" xfId="0" applyFont="1" applyFill="1" applyBorder="1"/>
    <xf numFmtId="0" fontId="13" fillId="0" borderId="8" xfId="0" applyFont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13" fillId="8" borderId="1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3" fontId="15" fillId="9" borderId="8" xfId="0" applyNumberFormat="1" applyFont="1" applyFill="1" applyBorder="1" applyAlignment="1">
      <alignment horizontal="center"/>
    </xf>
    <xf numFmtId="3" fontId="13" fillId="8" borderId="8" xfId="0" applyNumberFormat="1" applyFont="1" applyFill="1" applyBorder="1" applyAlignment="1">
      <alignment horizontal="center"/>
    </xf>
    <xf numFmtId="0" fontId="15" fillId="0" borderId="5" xfId="0" applyFont="1" applyBorder="1"/>
    <xf numFmtId="3" fontId="15" fillId="9" borderId="5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3" fontId="13" fillId="4" borderId="10" xfId="0" applyNumberFormat="1" applyFont="1" applyFill="1" applyBorder="1" applyAlignment="1">
      <alignment horizontal="center"/>
    </xf>
    <xf numFmtId="3" fontId="13" fillId="5" borderId="10" xfId="0" applyNumberFormat="1" applyFont="1" applyFill="1" applyBorder="1" applyAlignment="1">
      <alignment horizontal="center"/>
    </xf>
    <xf numFmtId="3" fontId="15" fillId="9" borderId="10" xfId="0" applyNumberFormat="1" applyFont="1" applyFill="1" applyBorder="1" applyAlignment="1">
      <alignment horizontal="center"/>
    </xf>
    <xf numFmtId="3" fontId="16" fillId="3" borderId="10" xfId="0" applyNumberFormat="1" applyFont="1" applyFill="1" applyBorder="1"/>
    <xf numFmtId="3" fontId="13" fillId="8" borderId="10" xfId="0" applyNumberFormat="1" applyFont="1" applyFill="1" applyBorder="1" applyAlignment="1">
      <alignment horizontal="center"/>
    </xf>
    <xf numFmtId="0" fontId="9" fillId="0" borderId="0" xfId="0" applyFont="1"/>
    <xf numFmtId="3" fontId="13" fillId="9" borderId="5" xfId="0" applyNumberFormat="1" applyFont="1" applyFill="1" applyBorder="1" applyAlignment="1">
      <alignment horizontal="center"/>
    </xf>
    <xf numFmtId="3" fontId="13" fillId="9" borderId="5" xfId="0" applyNumberFormat="1" applyFont="1" applyFill="1" applyBorder="1"/>
    <xf numFmtId="3" fontId="13" fillId="10" borderId="5" xfId="0" applyNumberFormat="1" applyFont="1" applyFill="1" applyBorder="1" applyAlignment="1">
      <alignment horizontal="center" vertical="center"/>
    </xf>
    <xf numFmtId="3" fontId="13" fillId="8" borderId="15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11" borderId="16" xfId="0" applyFont="1" applyFill="1" applyBorder="1"/>
    <xf numFmtId="0" fontId="19" fillId="11" borderId="17" xfId="0" applyFont="1" applyFill="1" applyBorder="1" applyAlignment="1">
      <alignment horizontal="center"/>
    </xf>
    <xf numFmtId="0" fontId="19" fillId="0" borderId="0" xfId="0" applyFont="1"/>
    <xf numFmtId="0" fontId="0" fillId="0" borderId="0" xfId="0" applyAlignment="1">
      <alignment wrapText="1"/>
    </xf>
    <xf numFmtId="164" fontId="0" fillId="0" borderId="0" xfId="2" applyNumberFormat="1" applyFont="1" applyAlignment="1">
      <alignment horizontal="center"/>
    </xf>
    <xf numFmtId="164" fontId="0" fillId="0" borderId="0" xfId="2" applyNumberFormat="1" applyFont="1"/>
    <xf numFmtId="0" fontId="9" fillId="0" borderId="16" xfId="0" applyFont="1" applyBorder="1"/>
    <xf numFmtId="0" fontId="9" fillId="0" borderId="7" xfId="0" applyFont="1" applyBorder="1"/>
    <xf numFmtId="0" fontId="0" fillId="0" borderId="16" xfId="0" applyBorder="1"/>
    <xf numFmtId="0" fontId="25" fillId="0" borderId="16" xfId="0" applyFont="1" applyBorder="1"/>
    <xf numFmtId="0" fontId="9" fillId="0" borderId="2" xfId="0" applyFont="1" applyBorder="1"/>
    <xf numFmtId="0" fontId="9" fillId="0" borderId="3" xfId="0" applyFont="1" applyBorder="1"/>
    <xf numFmtId="0" fontId="9" fillId="0" borderId="5" xfId="0" applyFont="1" applyBorder="1"/>
    <xf numFmtId="0" fontId="26" fillId="0" borderId="5" xfId="0" applyFont="1" applyBorder="1" applyAlignment="1">
      <alignment horizontal="center"/>
    </xf>
    <xf numFmtId="0" fontId="0" fillId="3" borderId="5" xfId="0" applyFill="1" applyBorder="1"/>
    <xf numFmtId="3" fontId="9" fillId="10" borderId="8" xfId="0" applyNumberFormat="1" applyFont="1" applyFill="1" applyBorder="1"/>
    <xf numFmtId="3" fontId="0" fillId="10" borderId="8" xfId="0" applyNumberFormat="1" applyFill="1" applyBorder="1"/>
    <xf numFmtId="3" fontId="0" fillId="0" borderId="8" xfId="0" applyNumberFormat="1" applyBorder="1"/>
    <xf numFmtId="3" fontId="22" fillId="3" borderId="8" xfId="0" applyNumberFormat="1" applyFont="1" applyFill="1" applyBorder="1"/>
    <xf numFmtId="3" fontId="9" fillId="0" borderId="8" xfId="0" applyNumberFormat="1" applyFont="1" applyBorder="1"/>
    <xf numFmtId="3" fontId="9" fillId="0" borderId="0" xfId="0" applyNumberFormat="1" applyFont="1"/>
    <xf numFmtId="0" fontId="0" fillId="0" borderId="8" xfId="0" applyBorder="1"/>
    <xf numFmtId="0" fontId="22" fillId="3" borderId="8" xfId="0" applyFont="1" applyFill="1" applyBorder="1"/>
    <xf numFmtId="3" fontId="24" fillId="0" borderId="8" xfId="0" applyNumberFormat="1" applyFont="1" applyBorder="1"/>
    <xf numFmtId="0" fontId="13" fillId="0" borderId="0" xfId="0" applyFont="1"/>
    <xf numFmtId="3" fontId="13" fillId="0" borderId="8" xfId="0" applyNumberFormat="1" applyFont="1" applyBorder="1"/>
    <xf numFmtId="3" fontId="13" fillId="10" borderId="8" xfId="0" applyNumberFormat="1" applyFont="1" applyFill="1" applyBorder="1"/>
    <xf numFmtId="0" fontId="24" fillId="3" borderId="7" xfId="0" applyFont="1" applyFill="1" applyBorder="1"/>
    <xf numFmtId="0" fontId="27" fillId="3" borderId="8" xfId="0" applyFont="1" applyFill="1" applyBorder="1"/>
    <xf numFmtId="3" fontId="9" fillId="2" borderId="8" xfId="0" applyNumberFormat="1" applyFont="1" applyFill="1" applyBorder="1"/>
    <xf numFmtId="3" fontId="0" fillId="2" borderId="8" xfId="0" applyNumberFormat="1" applyFill="1" applyBorder="1"/>
    <xf numFmtId="3" fontId="9" fillId="3" borderId="8" xfId="0" applyNumberFormat="1" applyFont="1" applyFill="1" applyBorder="1"/>
    <xf numFmtId="3" fontId="28" fillId="3" borderId="8" xfId="0" applyNumberFormat="1" applyFont="1" applyFill="1" applyBorder="1"/>
    <xf numFmtId="3" fontId="9" fillId="2" borderId="5" xfId="0" applyNumberFormat="1" applyFont="1" applyFill="1" applyBorder="1"/>
    <xf numFmtId="3" fontId="0" fillId="2" borderId="5" xfId="0" applyNumberFormat="1" applyFill="1" applyBorder="1"/>
    <xf numFmtId="3" fontId="0" fillId="0" borderId="5" xfId="0" applyNumberFormat="1" applyBorder="1"/>
    <xf numFmtId="3" fontId="22" fillId="3" borderId="5" xfId="0" applyNumberFormat="1" applyFont="1" applyFill="1" applyBorder="1"/>
    <xf numFmtId="3" fontId="28" fillId="3" borderId="5" xfId="0" applyNumberFormat="1" applyFont="1" applyFill="1" applyBorder="1"/>
    <xf numFmtId="3" fontId="0" fillId="13" borderId="8" xfId="0" applyNumberFormat="1" applyFill="1" applyBorder="1"/>
    <xf numFmtId="0" fontId="9" fillId="0" borderId="6" xfId="0" applyFont="1" applyBorder="1"/>
    <xf numFmtId="3" fontId="13" fillId="2" borderId="8" xfId="0" applyNumberFormat="1" applyFont="1" applyFill="1" applyBorder="1"/>
    <xf numFmtId="0" fontId="28" fillId="0" borderId="0" xfId="0" applyFont="1"/>
    <xf numFmtId="0" fontId="29" fillId="0" borderId="1" xfId="1" applyFont="1" applyBorder="1" applyAlignment="1">
      <alignment wrapText="1"/>
    </xf>
    <xf numFmtId="0" fontId="7" fillId="0" borderId="1" xfId="1" applyBorder="1" applyAlignment="1">
      <alignment horizontal="center"/>
    </xf>
    <xf numFmtId="0" fontId="29" fillId="0" borderId="1" xfId="1" applyFont="1" applyBorder="1" applyAlignment="1">
      <alignment horizontal="center"/>
    </xf>
    <xf numFmtId="164" fontId="7" fillId="0" borderId="0" xfId="2" applyNumberFormat="1" applyFont="1" applyAlignment="1">
      <alignment horizontal="center"/>
    </xf>
    <xf numFmtId="0" fontId="7" fillId="0" borderId="0" xfId="1" applyAlignment="1">
      <alignment wrapText="1"/>
    </xf>
    <xf numFmtId="0" fontId="7" fillId="0" borderId="3" xfId="1" applyBorder="1" applyAlignment="1">
      <alignment horizontal="center"/>
    </xf>
    <xf numFmtId="0" fontId="7" fillId="0" borderId="0" xfId="1" applyAlignment="1">
      <alignment horizontal="center"/>
    </xf>
    <xf numFmtId="0" fontId="7" fillId="0" borderId="17" xfId="1" applyBorder="1" applyAlignment="1">
      <alignment horizontal="center"/>
    </xf>
    <xf numFmtId="164" fontId="7" fillId="0" borderId="3" xfId="2" applyNumberFormat="1" applyFont="1" applyBorder="1" applyAlignment="1">
      <alignment horizontal="center"/>
    </xf>
    <xf numFmtId="0" fontId="7" fillId="0" borderId="1" xfId="1" applyBorder="1" applyAlignment="1">
      <alignment wrapText="1"/>
    </xf>
    <xf numFmtId="0" fontId="7" fillId="0" borderId="5" xfId="1" applyBorder="1" applyAlignment="1">
      <alignment horizontal="center"/>
    </xf>
    <xf numFmtId="0" fontId="7" fillId="0" borderId="14" xfId="1" applyBorder="1" applyAlignment="1">
      <alignment horizontal="center"/>
    </xf>
    <xf numFmtId="164" fontId="7" fillId="0" borderId="5" xfId="2" applyNumberFormat="1" applyFont="1" applyBorder="1" applyAlignment="1">
      <alignment horizontal="center"/>
    </xf>
    <xf numFmtId="0" fontId="7" fillId="13" borderId="7" xfId="1" applyFill="1" applyBorder="1" applyAlignment="1">
      <alignment wrapText="1"/>
    </xf>
    <xf numFmtId="0" fontId="7" fillId="0" borderId="8" xfId="1" applyBorder="1" applyAlignment="1">
      <alignment horizontal="center"/>
    </xf>
    <xf numFmtId="0" fontId="7" fillId="0" borderId="7" xfId="1" applyBorder="1" applyAlignment="1">
      <alignment wrapText="1"/>
    </xf>
    <xf numFmtId="2" fontId="7" fillId="0" borderId="1" xfId="1" applyNumberFormat="1" applyBorder="1" applyAlignment="1">
      <alignment wrapText="1"/>
    </xf>
    <xf numFmtId="2" fontId="7" fillId="0" borderId="7" xfId="1" applyNumberFormat="1" applyBorder="1" applyAlignment="1">
      <alignment wrapText="1"/>
    </xf>
    <xf numFmtId="0" fontId="0" fillId="0" borderId="8" xfId="0" applyBorder="1" applyAlignment="1">
      <alignment wrapText="1"/>
    </xf>
    <xf numFmtId="0" fontId="7" fillId="0" borderId="8" xfId="1" applyBorder="1"/>
    <xf numFmtId="3" fontId="29" fillId="8" borderId="5" xfId="1" applyNumberFormat="1" applyFont="1" applyFill="1" applyBorder="1" applyAlignment="1">
      <alignment horizontal="center"/>
    </xf>
    <xf numFmtId="164" fontId="29" fillId="8" borderId="5" xfId="2" applyNumberFormat="1" applyFont="1" applyFill="1" applyBorder="1" applyAlignment="1">
      <alignment horizontal="center"/>
    </xf>
    <xf numFmtId="0" fontId="29" fillId="0" borderId="1" xfId="1" applyFont="1" applyBorder="1"/>
    <xf numFmtId="0" fontId="7" fillId="0" borderId="0" xfId="1"/>
    <xf numFmtId="0" fontId="7" fillId="0" borderId="8" xfId="1" applyBorder="1" applyAlignment="1">
      <alignment vertical="center"/>
    </xf>
    <xf numFmtId="0" fontId="29" fillId="0" borderId="8" xfId="1" applyFont="1" applyBorder="1"/>
    <xf numFmtId="3" fontId="29" fillId="8" borderId="8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7" fillId="0" borderId="1" xfId="1" applyBorder="1"/>
    <xf numFmtId="0" fontId="29" fillId="0" borderId="8" xfId="1" applyFont="1" applyBorder="1" applyAlignment="1">
      <alignment horizontal="left"/>
    </xf>
    <xf numFmtId="0" fontId="29" fillId="0" borderId="3" xfId="1" applyFont="1" applyBorder="1" applyAlignment="1">
      <alignment horizontal="center"/>
    </xf>
    <xf numFmtId="0" fontId="7" fillId="0" borderId="7" xfId="1" applyBorder="1" applyAlignment="1">
      <alignment horizontal="left" vertical="center" wrapText="1"/>
    </xf>
    <xf numFmtId="0" fontId="7" fillId="0" borderId="7" xfId="1" applyBorder="1"/>
    <xf numFmtId="3" fontId="29" fillId="8" borderId="5" xfId="1" applyNumberFormat="1" applyFont="1" applyFill="1" applyBorder="1"/>
    <xf numFmtId="0" fontId="15" fillId="0" borderId="0" xfId="0" applyFont="1"/>
    <xf numFmtId="0" fontId="31" fillId="0" borderId="0" xfId="0" applyFont="1" applyAlignment="1">
      <alignment wrapText="1"/>
    </xf>
    <xf numFmtId="0" fontId="7" fillId="0" borderId="7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3" xfId="1" applyBorder="1"/>
    <xf numFmtId="0" fontId="7" fillId="0" borderId="17" xfId="1" applyBorder="1"/>
    <xf numFmtId="0" fontId="7" fillId="0" borderId="8" xfId="1" applyBorder="1" applyAlignment="1">
      <alignment horizontal="left"/>
    </xf>
    <xf numFmtId="0" fontId="7" fillId="0" borderId="8" xfId="1" applyBorder="1" applyAlignment="1">
      <alignment horizontal="left" vertical="center" wrapText="1"/>
    </xf>
    <xf numFmtId="0" fontId="7" fillId="0" borderId="17" xfId="1" applyBorder="1" applyAlignment="1">
      <alignment wrapText="1"/>
    </xf>
    <xf numFmtId="0" fontId="7" fillId="0" borderId="8" xfId="1" applyBorder="1" applyAlignment="1">
      <alignment wrapText="1"/>
    </xf>
    <xf numFmtId="0" fontId="7" fillId="0" borderId="2" xfId="1" applyBorder="1"/>
    <xf numFmtId="164" fontId="7" fillId="0" borderId="8" xfId="2" applyNumberFormat="1" applyFont="1" applyBorder="1"/>
    <xf numFmtId="164" fontId="7" fillId="0" borderId="13" xfId="2" applyNumberFormat="1" applyFont="1" applyBorder="1"/>
    <xf numFmtId="164" fontId="7" fillId="0" borderId="5" xfId="2" applyNumberFormat="1" applyFont="1" applyBorder="1"/>
    <xf numFmtId="164" fontId="0" fillId="0" borderId="8" xfId="2" applyNumberFormat="1" applyFont="1" applyBorder="1"/>
    <xf numFmtId="164" fontId="7" fillId="0" borderId="14" xfId="2" applyNumberFormat="1" applyFont="1" applyBorder="1"/>
    <xf numFmtId="164" fontId="7" fillId="0" borderId="0" xfId="2" applyNumberFormat="1" applyFont="1"/>
    <xf numFmtId="164" fontId="7" fillId="0" borderId="3" xfId="2" applyNumberFormat="1" applyFont="1" applyBorder="1"/>
    <xf numFmtId="164" fontId="29" fillId="8" borderId="5" xfId="2" applyNumberFormat="1" applyFont="1" applyFill="1" applyBorder="1"/>
    <xf numFmtId="43" fontId="7" fillId="0" borderId="8" xfId="2" applyFont="1" applyBorder="1"/>
    <xf numFmtId="164" fontId="7" fillId="0" borderId="1" xfId="2" applyNumberFormat="1" applyFont="1" applyBorder="1"/>
    <xf numFmtId="164" fontId="29" fillId="0" borderId="1" xfId="2" applyNumberFormat="1" applyFont="1" applyBorder="1"/>
    <xf numFmtId="164" fontId="7" fillId="0" borderId="17" xfId="2" applyNumberFormat="1" applyFont="1" applyBorder="1"/>
    <xf numFmtId="164" fontId="7" fillId="0" borderId="8" xfId="2" applyNumberFormat="1" applyFont="1" applyFill="1" applyBorder="1"/>
    <xf numFmtId="164" fontId="7" fillId="0" borderId="5" xfId="2" applyNumberFormat="1" applyFont="1" applyFill="1" applyBorder="1"/>
    <xf numFmtId="43" fontId="7" fillId="0" borderId="5" xfId="2" applyFont="1" applyBorder="1"/>
    <xf numFmtId="43" fontId="7" fillId="0" borderId="14" xfId="2" applyFont="1" applyBorder="1"/>
    <xf numFmtId="43" fontId="7" fillId="0" borderId="13" xfId="2" applyFont="1" applyBorder="1"/>
    <xf numFmtId="43" fontId="29" fillId="8" borderId="5" xfId="2" applyFont="1" applyFill="1" applyBorder="1"/>
    <xf numFmtId="43" fontId="29" fillId="0" borderId="5" xfId="2" applyFont="1" applyBorder="1"/>
    <xf numFmtId="164" fontId="30" fillId="0" borderId="8" xfId="2" applyNumberFormat="1" applyFont="1" applyBorder="1"/>
    <xf numFmtId="164" fontId="32" fillId="0" borderId="0" xfId="2" applyNumberFormat="1" applyFont="1" applyAlignment="1">
      <alignment horizontal="center"/>
    </xf>
    <xf numFmtId="43" fontId="7" fillId="0" borderId="0" xfId="2" applyFont="1"/>
    <xf numFmtId="43" fontId="7" fillId="0" borderId="3" xfId="2" applyFont="1" applyBorder="1"/>
    <xf numFmtId="43" fontId="0" fillId="0" borderId="0" xfId="2" applyFont="1"/>
    <xf numFmtId="0" fontId="6" fillId="0" borderId="8" xfId="0" applyFont="1" applyBorder="1"/>
    <xf numFmtId="0" fontId="32" fillId="0" borderId="0" xfId="0" applyFont="1"/>
    <xf numFmtId="164" fontId="32" fillId="0" borderId="0" xfId="2" applyNumberFormat="1" applyFont="1"/>
    <xf numFmtId="0" fontId="36" fillId="0" borderId="0" xfId="0" applyFont="1"/>
    <xf numFmtId="164" fontId="37" fillId="0" borderId="0" xfId="2" applyNumberFormat="1" applyFont="1" applyAlignment="1">
      <alignment horizontal="center"/>
    </xf>
    <xf numFmtId="0" fontId="38" fillId="0" borderId="0" xfId="0" applyFont="1"/>
    <xf numFmtId="164" fontId="39" fillId="0" borderId="0" xfId="2" applyNumberFormat="1" applyFont="1" applyAlignment="1">
      <alignment horizontal="center"/>
    </xf>
    <xf numFmtId="0" fontId="40" fillId="0" borderId="0" xfId="0" applyFont="1" applyAlignment="1">
      <alignment wrapText="1"/>
    </xf>
    <xf numFmtId="0" fontId="40" fillId="0" borderId="0" xfId="0" applyFont="1"/>
    <xf numFmtId="0" fontId="41" fillId="0" borderId="0" xfId="0" applyFont="1" applyAlignment="1">
      <alignment wrapText="1"/>
    </xf>
    <xf numFmtId="164" fontId="41" fillId="0" borderId="0" xfId="2" applyNumberFormat="1" applyFont="1" applyFill="1" applyBorder="1" applyAlignment="1">
      <alignment horizontal="center"/>
    </xf>
    <xf numFmtId="164" fontId="34" fillId="0" borderId="0" xfId="2" applyNumberFormat="1" applyFont="1"/>
    <xf numFmtId="0" fontId="34" fillId="0" borderId="0" xfId="0" applyFont="1"/>
    <xf numFmtId="0" fontId="42" fillId="0" borderId="1" xfId="0" applyFont="1" applyBorder="1" applyAlignment="1">
      <alignment vertical="center"/>
    </xf>
    <xf numFmtId="0" fontId="42" fillId="0" borderId="1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164" fontId="34" fillId="0" borderId="0" xfId="2" applyNumberFormat="1" applyFont="1" applyAlignment="1">
      <alignment horizontal="center"/>
    </xf>
    <xf numFmtId="0" fontId="43" fillId="2" borderId="2" xfId="0" applyFont="1" applyFill="1" applyBorder="1" applyAlignment="1">
      <alignment wrapText="1"/>
    </xf>
    <xf numFmtId="0" fontId="34" fillId="0" borderId="4" xfId="0" applyFont="1" applyBorder="1" applyAlignment="1">
      <alignment wrapText="1"/>
    </xf>
    <xf numFmtId="0" fontId="45" fillId="0" borderId="2" xfId="0" applyFont="1" applyBorder="1" applyAlignment="1">
      <alignment wrapText="1"/>
    </xf>
    <xf numFmtId="164" fontId="41" fillId="4" borderId="8" xfId="2" applyNumberFormat="1" applyFont="1" applyFill="1" applyBorder="1" applyAlignment="1">
      <alignment horizontal="center"/>
    </xf>
    <xf numFmtId="164" fontId="34" fillId="0" borderId="5" xfId="2" applyNumberFormat="1" applyFont="1" applyBorder="1" applyAlignment="1">
      <alignment horizontal="center" vertical="center" wrapText="1"/>
    </xf>
    <xf numFmtId="164" fontId="46" fillId="0" borderId="5" xfId="2" applyNumberFormat="1" applyFont="1" applyBorder="1" applyAlignment="1">
      <alignment horizontal="center" vertical="center"/>
    </xf>
    <xf numFmtId="164" fontId="44" fillId="0" borderId="4" xfId="2" applyNumberFormat="1" applyFont="1" applyBorder="1" applyAlignment="1">
      <alignment horizontal="center" vertical="center" wrapText="1"/>
    </xf>
    <xf numFmtId="164" fontId="41" fillId="5" borderId="8" xfId="2" applyNumberFormat="1" applyFont="1" applyFill="1" applyBorder="1" applyAlignment="1">
      <alignment horizontal="center"/>
    </xf>
    <xf numFmtId="164" fontId="45" fillId="2" borderId="8" xfId="2" applyNumberFormat="1" applyFont="1" applyFill="1" applyBorder="1" applyAlignment="1">
      <alignment horizontal="center"/>
    </xf>
    <xf numFmtId="164" fontId="45" fillId="2" borderId="8" xfId="2" applyNumberFormat="1" applyFont="1" applyFill="1" applyBorder="1" applyAlignment="1">
      <alignment horizontal="center" vertical="center"/>
    </xf>
    <xf numFmtId="164" fontId="37" fillId="2" borderId="8" xfId="2" applyNumberFormat="1" applyFont="1" applyFill="1" applyBorder="1" applyAlignment="1">
      <alignment horizontal="center"/>
    </xf>
    <xf numFmtId="164" fontId="41" fillId="0" borderId="8" xfId="2" applyNumberFormat="1" applyFont="1" applyBorder="1" applyAlignment="1">
      <alignment horizontal="center"/>
    </xf>
    <xf numFmtId="164" fontId="41" fillId="0" borderId="4" xfId="2" applyNumberFormat="1" applyFont="1" applyBorder="1" applyAlignment="1">
      <alignment horizontal="center"/>
    </xf>
    <xf numFmtId="164" fontId="41" fillId="7" borderId="8" xfId="2" applyNumberFormat="1" applyFont="1" applyFill="1" applyBorder="1" applyAlignment="1">
      <alignment horizontal="center"/>
    </xf>
    <xf numFmtId="164" fontId="41" fillId="4" borderId="3" xfId="2" applyNumberFormat="1" applyFont="1" applyFill="1" applyBorder="1" applyAlignment="1">
      <alignment horizontal="center"/>
    </xf>
    <xf numFmtId="164" fontId="41" fillId="5" borderId="3" xfId="2" applyNumberFormat="1" applyFont="1" applyFill="1" applyBorder="1" applyAlignment="1">
      <alignment horizontal="center"/>
    </xf>
    <xf numFmtId="164" fontId="41" fillId="0" borderId="21" xfId="2" applyNumberFormat="1" applyFont="1" applyBorder="1" applyAlignment="1">
      <alignment horizontal="center"/>
    </xf>
    <xf numFmtId="0" fontId="45" fillId="0" borderId="8" xfId="0" applyFont="1" applyBorder="1" applyAlignment="1">
      <alignment wrapText="1"/>
    </xf>
    <xf numFmtId="164" fontId="41" fillId="4" borderId="8" xfId="2" applyNumberFormat="1" applyFont="1" applyFill="1" applyBorder="1" applyAlignment="1">
      <alignment horizontal="center" vertical="center"/>
    </xf>
    <xf numFmtId="164" fontId="41" fillId="5" borderId="8" xfId="2" applyNumberFormat="1" applyFont="1" applyFill="1" applyBorder="1" applyAlignment="1">
      <alignment vertical="center"/>
    </xf>
    <xf numFmtId="164" fontId="45" fillId="0" borderId="8" xfId="2" applyNumberFormat="1" applyFont="1" applyBorder="1" applyAlignment="1">
      <alignment horizontal="center" vertical="center"/>
    </xf>
    <xf numFmtId="164" fontId="37" fillId="0" borderId="8" xfId="2" applyNumberFormat="1" applyFont="1" applyBorder="1" applyAlignment="1">
      <alignment vertical="center"/>
    </xf>
    <xf numFmtId="164" fontId="41" fillId="0" borderId="8" xfId="2" applyNumberFormat="1" applyFont="1" applyBorder="1" applyAlignment="1">
      <alignment horizontal="center" vertical="center"/>
    </xf>
    <xf numFmtId="164" fontId="41" fillId="0" borderId="8" xfId="2" applyNumberFormat="1" applyFont="1" applyBorder="1" applyAlignment="1">
      <alignment vertical="center"/>
    </xf>
    <xf numFmtId="0" fontId="35" fillId="0" borderId="8" xfId="1" applyFont="1" applyBorder="1"/>
    <xf numFmtId="164" fontId="34" fillId="0" borderId="8" xfId="2" applyNumberFormat="1" applyFont="1" applyBorder="1" applyAlignment="1">
      <alignment horizontal="center"/>
    </xf>
    <xf numFmtId="43" fontId="35" fillId="0" borderId="8" xfId="2" applyFont="1" applyBorder="1"/>
    <xf numFmtId="0" fontId="35" fillId="16" borderId="12" xfId="1" applyFont="1" applyFill="1" applyBorder="1"/>
    <xf numFmtId="164" fontId="34" fillId="16" borderId="10" xfId="2" applyNumberFormat="1" applyFont="1" applyFill="1" applyBorder="1" applyAlignment="1">
      <alignment horizontal="center"/>
    </xf>
    <xf numFmtId="164" fontId="35" fillId="16" borderId="5" xfId="2" applyNumberFormat="1" applyFont="1" applyFill="1" applyBorder="1"/>
    <xf numFmtId="164" fontId="41" fillId="0" borderId="5" xfId="2" applyNumberFormat="1" applyFont="1" applyBorder="1" applyAlignment="1">
      <alignment horizontal="center"/>
    </xf>
    <xf numFmtId="43" fontId="35" fillId="0" borderId="4" xfId="2" applyFont="1" applyBorder="1"/>
    <xf numFmtId="0" fontId="41" fillId="0" borderId="1" xfId="0" applyFont="1" applyBorder="1" applyAlignment="1">
      <alignment horizontal="left" wrapText="1"/>
    </xf>
    <xf numFmtId="164" fontId="41" fillId="4" borderId="5" xfId="2" applyNumberFormat="1" applyFont="1" applyFill="1" applyBorder="1" applyAlignment="1">
      <alignment horizontal="center"/>
    </xf>
    <xf numFmtId="164" fontId="41" fillId="5" borderId="5" xfId="2" applyNumberFormat="1" applyFont="1" applyFill="1" applyBorder="1" applyAlignment="1">
      <alignment horizontal="center"/>
    </xf>
    <xf numFmtId="164" fontId="41" fillId="2" borderId="15" xfId="2" applyNumberFormat="1" applyFont="1" applyFill="1" applyBorder="1" applyAlignment="1">
      <alignment horizontal="center"/>
    </xf>
    <xf numFmtId="164" fontId="41" fillId="0" borderId="15" xfId="2" applyNumberFormat="1" applyFont="1" applyBorder="1" applyAlignment="1">
      <alignment horizontal="center"/>
    </xf>
    <xf numFmtId="164" fontId="41" fillId="0" borderId="19" xfId="2" applyNumberFormat="1" applyFont="1" applyBorder="1" applyAlignment="1">
      <alignment horizontal="center"/>
    </xf>
    <xf numFmtId="164" fontId="41" fillId="7" borderId="15" xfId="2" applyNumberFormat="1" applyFont="1" applyFill="1" applyBorder="1" applyAlignment="1">
      <alignment horizontal="center"/>
    </xf>
    <xf numFmtId="3" fontId="34" fillId="0" borderId="0" xfId="0" applyNumberFormat="1" applyFont="1"/>
    <xf numFmtId="164" fontId="41" fillId="0" borderId="0" xfId="2" applyNumberFormat="1" applyFont="1" applyAlignment="1">
      <alignment horizontal="center"/>
    </xf>
    <xf numFmtId="0" fontId="43" fillId="9" borderId="8" xfId="0" applyFont="1" applyFill="1" applyBorder="1" applyAlignment="1">
      <alignment wrapText="1"/>
    </xf>
    <xf numFmtId="164" fontId="41" fillId="0" borderId="7" xfId="2" applyNumberFormat="1" applyFont="1" applyBorder="1" applyAlignment="1">
      <alignment horizontal="center"/>
    </xf>
    <xf numFmtId="164" fontId="41" fillId="0" borderId="1" xfId="2" applyNumberFormat="1" applyFont="1" applyBorder="1" applyAlignment="1">
      <alignment horizontal="center"/>
    </xf>
    <xf numFmtId="164" fontId="47" fillId="0" borderId="1" xfId="2" applyNumberFormat="1" applyFont="1" applyBorder="1" applyAlignment="1">
      <alignment horizontal="center"/>
    </xf>
    <xf numFmtId="164" fontId="41" fillId="8" borderId="8" xfId="2" applyNumberFormat="1" applyFont="1" applyFill="1" applyBorder="1" applyAlignment="1">
      <alignment horizontal="center" vertical="center" wrapText="1"/>
    </xf>
    <xf numFmtId="0" fontId="34" fillId="0" borderId="6" xfId="0" applyFont="1" applyBorder="1" applyAlignment="1">
      <alignment wrapText="1"/>
    </xf>
    <xf numFmtId="164" fontId="45" fillId="9" borderId="8" xfId="2" applyNumberFormat="1" applyFont="1" applyFill="1" applyBorder="1" applyAlignment="1">
      <alignment horizontal="center"/>
    </xf>
    <xf numFmtId="164" fontId="41" fillId="8" borderId="8" xfId="2" applyNumberFormat="1" applyFont="1" applyFill="1" applyBorder="1" applyAlignment="1">
      <alignment horizontal="center"/>
    </xf>
    <xf numFmtId="164" fontId="45" fillId="9" borderId="5" xfId="2" applyNumberFormat="1" applyFont="1" applyFill="1" applyBorder="1" applyAlignment="1">
      <alignment horizontal="center"/>
    </xf>
    <xf numFmtId="0" fontId="34" fillId="0" borderId="2" xfId="0" applyFont="1" applyBorder="1" applyAlignment="1">
      <alignment wrapText="1"/>
    </xf>
    <xf numFmtId="164" fontId="45" fillId="9" borderId="3" xfId="2" applyNumberFormat="1" applyFont="1" applyFill="1" applyBorder="1" applyAlignment="1">
      <alignment horizontal="center"/>
    </xf>
    <xf numFmtId="0" fontId="44" fillId="0" borderId="0" xfId="0" applyFont="1"/>
    <xf numFmtId="164" fontId="41" fillId="4" borderId="10" xfId="2" applyNumberFormat="1" applyFont="1" applyFill="1" applyBorder="1" applyAlignment="1">
      <alignment horizontal="center"/>
    </xf>
    <xf numFmtId="164" fontId="41" fillId="5" borderId="10" xfId="2" applyNumberFormat="1" applyFont="1" applyFill="1" applyBorder="1" applyAlignment="1">
      <alignment horizontal="center"/>
    </xf>
    <xf numFmtId="164" fontId="45" fillId="9" borderId="10" xfId="2" applyNumberFormat="1" applyFont="1" applyFill="1" applyBorder="1" applyAlignment="1">
      <alignment horizontal="center"/>
    </xf>
    <xf numFmtId="164" fontId="41" fillId="0" borderId="10" xfId="2" applyNumberFormat="1" applyFont="1" applyBorder="1" applyAlignment="1">
      <alignment horizontal="center"/>
    </xf>
    <xf numFmtId="164" fontId="34" fillId="0" borderId="0" xfId="2" applyNumberFormat="1" applyFont="1" applyBorder="1" applyAlignment="1">
      <alignment horizontal="center"/>
    </xf>
    <xf numFmtId="43" fontId="35" fillId="0" borderId="0" xfId="2" applyFont="1" applyBorder="1"/>
    <xf numFmtId="164" fontId="41" fillId="0" borderId="0" xfId="2" applyNumberFormat="1" applyFont="1" applyBorder="1" applyAlignment="1">
      <alignment horizontal="center"/>
    </xf>
    <xf numFmtId="0" fontId="35" fillId="0" borderId="0" xfId="1" applyFont="1"/>
    <xf numFmtId="164" fontId="40" fillId="17" borderId="0" xfId="2" applyNumberFormat="1" applyFont="1" applyFill="1" applyAlignment="1">
      <alignment horizontal="center"/>
    </xf>
    <xf numFmtId="164" fontId="40" fillId="17" borderId="0" xfId="2" applyNumberFormat="1" applyFont="1" applyFill="1"/>
    <xf numFmtId="164" fontId="40" fillId="18" borderId="0" xfId="2" applyNumberFormat="1" applyFont="1" applyFill="1" applyAlignment="1">
      <alignment horizontal="center"/>
    </xf>
    <xf numFmtId="0" fontId="34" fillId="0" borderId="0" xfId="0" applyFont="1" applyAlignment="1">
      <alignment wrapText="1"/>
    </xf>
    <xf numFmtId="164" fontId="33" fillId="0" borderId="0" xfId="2" applyNumberFormat="1" applyFont="1" applyFill="1" applyBorder="1" applyAlignment="1">
      <alignment horizontal="center"/>
    </xf>
    <xf numFmtId="0" fontId="48" fillId="0" borderId="0" xfId="1" applyFont="1" applyAlignment="1">
      <alignment vertical="center"/>
    </xf>
    <xf numFmtId="164" fontId="34" fillId="0" borderId="0" xfId="2" applyNumberFormat="1" applyFont="1" applyBorder="1" applyAlignment="1">
      <alignment horizontal="center" vertical="center"/>
    </xf>
    <xf numFmtId="164" fontId="49" fillId="0" borderId="0" xfId="2" applyNumberFormat="1" applyFont="1" applyBorder="1" applyAlignment="1">
      <alignment vertical="center"/>
    </xf>
    <xf numFmtId="0" fontId="34" fillId="0" borderId="0" xfId="0" applyFont="1" applyAlignment="1">
      <alignment vertical="center"/>
    </xf>
    <xf numFmtId="164" fontId="41" fillId="17" borderId="5" xfId="2" applyNumberFormat="1" applyFont="1" applyFill="1" applyBorder="1" applyAlignment="1">
      <alignment horizontal="center"/>
    </xf>
    <xf numFmtId="0" fontId="41" fillId="0" borderId="0" xfId="0" applyFont="1" applyAlignment="1">
      <alignment horizontal="left" wrapText="1"/>
    </xf>
    <xf numFmtId="164" fontId="41" fillId="0" borderId="8" xfId="2" applyNumberFormat="1" applyFont="1" applyFill="1" applyBorder="1" applyAlignment="1">
      <alignment horizontal="center"/>
    </xf>
    <xf numFmtId="0" fontId="41" fillId="0" borderId="8" xfId="0" applyFont="1" applyBorder="1" applyAlignment="1">
      <alignment wrapText="1"/>
    </xf>
    <xf numFmtId="0" fontId="34" fillId="0" borderId="8" xfId="0" applyFont="1" applyBorder="1" applyAlignment="1">
      <alignment wrapText="1"/>
    </xf>
    <xf numFmtId="0" fontId="41" fillId="17" borderId="1" xfId="0" applyFont="1" applyFill="1" applyBorder="1" applyAlignment="1">
      <alignment horizontal="left" wrapText="1"/>
    </xf>
    <xf numFmtId="0" fontId="34" fillId="0" borderId="11" xfId="0" applyFont="1" applyBorder="1" applyAlignment="1">
      <alignment wrapText="1"/>
    </xf>
    <xf numFmtId="0" fontId="41" fillId="17" borderId="5" xfId="0" applyFont="1" applyFill="1" applyBorder="1" applyAlignment="1">
      <alignment horizontal="left" wrapText="1"/>
    </xf>
    <xf numFmtId="164" fontId="41" fillId="0" borderId="10" xfId="2" applyNumberFormat="1" applyFont="1" applyFill="1" applyBorder="1" applyAlignment="1">
      <alignment horizontal="center"/>
    </xf>
    <xf numFmtId="0" fontId="50" fillId="0" borderId="0" xfId="0" applyFont="1" applyAlignment="1">
      <alignment horizontal="right" wrapText="1"/>
    </xf>
    <xf numFmtId="164" fontId="50" fillId="0" borderId="0" xfId="2" applyNumberFormat="1" applyFont="1"/>
    <xf numFmtId="164" fontId="29" fillId="8" borderId="14" xfId="1" applyNumberFormat="1" applyFont="1" applyFill="1" applyBorder="1"/>
    <xf numFmtId="43" fontId="29" fillId="8" borderId="8" xfId="2" applyFont="1" applyFill="1" applyBorder="1"/>
    <xf numFmtId="164" fontId="51" fillId="0" borderId="1" xfId="2" applyNumberFormat="1" applyFont="1" applyBorder="1" applyAlignment="1">
      <alignment horizontal="center" vertical="center"/>
    </xf>
    <xf numFmtId="164" fontId="7" fillId="16" borderId="17" xfId="2" applyNumberFormat="1" applyFont="1" applyFill="1" applyBorder="1"/>
    <xf numFmtId="0" fontId="7" fillId="16" borderId="8" xfId="1" applyFill="1" applyBorder="1" applyAlignment="1">
      <alignment horizontal="left"/>
    </xf>
    <xf numFmtId="0" fontId="0" fillId="0" borderId="6" xfId="0" applyBorder="1" applyAlignment="1">
      <alignment wrapText="1"/>
    </xf>
    <xf numFmtId="164" fontId="41" fillId="4" borderId="3" xfId="2" applyNumberFormat="1" applyFont="1" applyFill="1" applyBorder="1"/>
    <xf numFmtId="164" fontId="41" fillId="5" borderId="3" xfId="2" applyNumberFormat="1" applyFont="1" applyFill="1" applyBorder="1" applyAlignment="1">
      <alignment vertical="center"/>
    </xf>
    <xf numFmtId="164" fontId="41" fillId="0" borderId="3" xfId="2" applyNumberFormat="1" applyFont="1" applyBorder="1" applyAlignment="1">
      <alignment vertical="center"/>
    </xf>
    <xf numFmtId="164" fontId="44" fillId="0" borderId="8" xfId="2" applyNumberFormat="1" applyFont="1" applyBorder="1" applyAlignment="1">
      <alignment horizontal="center" vertical="center" wrapText="1"/>
    </xf>
    <xf numFmtId="164" fontId="44" fillId="0" borderId="8" xfId="2" applyNumberFormat="1" applyFont="1" applyBorder="1" applyAlignment="1">
      <alignment horizontal="center" vertical="center"/>
    </xf>
    <xf numFmtId="164" fontId="44" fillId="12" borderId="8" xfId="2" applyNumberFormat="1" applyFont="1" applyFill="1" applyBorder="1" applyAlignment="1">
      <alignment horizontal="center" vertical="center" wrapText="1"/>
    </xf>
    <xf numFmtId="164" fontId="7" fillId="0" borderId="8" xfId="2" applyNumberFormat="1" applyFont="1" applyBorder="1" applyAlignment="1">
      <alignment horizontal="center"/>
    </xf>
    <xf numFmtId="2" fontId="7" fillId="0" borderId="8" xfId="1" applyNumberFormat="1" applyBorder="1"/>
    <xf numFmtId="0" fontId="7" fillId="0" borderId="8" xfId="1" applyBorder="1" applyAlignment="1">
      <alignment horizontal="left" wrapText="1"/>
    </xf>
    <xf numFmtId="2" fontId="7" fillId="0" borderId="8" xfId="1" applyNumberFormat="1" applyBorder="1" applyAlignment="1">
      <alignment wrapText="1"/>
    </xf>
    <xf numFmtId="164" fontId="41" fillId="16" borderId="4" xfId="2" applyNumberFormat="1" applyFont="1" applyFill="1" applyBorder="1" applyAlignment="1">
      <alignment horizontal="center"/>
    </xf>
    <xf numFmtId="164" fontId="41" fillId="16" borderId="11" xfId="2" applyNumberFormat="1" applyFont="1" applyFill="1" applyBorder="1" applyAlignment="1">
      <alignment horizontal="center"/>
    </xf>
    <xf numFmtId="164" fontId="41" fillId="16" borderId="10" xfId="2" applyNumberFormat="1" applyFont="1" applyFill="1" applyBorder="1" applyAlignment="1">
      <alignment horizontal="center"/>
    </xf>
    <xf numFmtId="164" fontId="41" fillId="16" borderId="8" xfId="2" applyNumberFormat="1" applyFont="1" applyFill="1" applyBorder="1" applyAlignment="1">
      <alignment horizontal="center"/>
    </xf>
    <xf numFmtId="164" fontId="45" fillId="19" borderId="8" xfId="2" applyNumberFormat="1" applyFont="1" applyFill="1" applyBorder="1" applyAlignment="1">
      <alignment horizontal="center"/>
    </xf>
    <xf numFmtId="164" fontId="45" fillId="19" borderId="5" xfId="2" applyNumberFormat="1" applyFont="1" applyFill="1" applyBorder="1" applyAlignment="1">
      <alignment horizontal="center"/>
    </xf>
    <xf numFmtId="164" fontId="37" fillId="19" borderId="5" xfId="2" applyNumberFormat="1" applyFont="1" applyFill="1" applyBorder="1" applyAlignment="1">
      <alignment horizontal="center"/>
    </xf>
    <xf numFmtId="164" fontId="45" fillId="19" borderId="10" xfId="2" applyNumberFormat="1" applyFont="1" applyFill="1" applyBorder="1" applyAlignment="1">
      <alignment horizontal="center"/>
    </xf>
    <xf numFmtId="164" fontId="7" fillId="20" borderId="8" xfId="2" applyNumberFormat="1" applyFont="1" applyFill="1" applyBorder="1"/>
    <xf numFmtId="164" fontId="7" fillId="20" borderId="13" xfId="2" applyNumberFormat="1" applyFont="1" applyFill="1" applyBorder="1"/>
    <xf numFmtId="164" fontId="7" fillId="20" borderId="5" xfId="2" applyNumberFormat="1" applyFont="1" applyFill="1" applyBorder="1"/>
    <xf numFmtId="164" fontId="7" fillId="20" borderId="14" xfId="2" applyNumberFormat="1" applyFont="1" applyFill="1" applyBorder="1"/>
    <xf numFmtId="0" fontId="52" fillId="0" borderId="1" xfId="1" applyFont="1" applyBorder="1"/>
    <xf numFmtId="0" fontId="52" fillId="0" borderId="1" xfId="1" applyFont="1" applyBorder="1" applyAlignment="1">
      <alignment horizontal="center"/>
    </xf>
    <xf numFmtId="0" fontId="53" fillId="0" borderId="1" xfId="1" applyFont="1" applyBorder="1"/>
    <xf numFmtId="0" fontId="53" fillId="0" borderId="0" xfId="1" applyFont="1"/>
    <xf numFmtId="0" fontId="54" fillId="0" borderId="0" xfId="0" applyFont="1"/>
    <xf numFmtId="0" fontId="53" fillId="0" borderId="17" xfId="1" applyFont="1" applyBorder="1" applyAlignment="1">
      <alignment horizontal="center"/>
    </xf>
    <xf numFmtId="0" fontId="53" fillId="0" borderId="3" xfId="1" applyFont="1" applyBorder="1" applyAlignment="1">
      <alignment horizontal="center"/>
    </xf>
    <xf numFmtId="0" fontId="53" fillId="0" borderId="8" xfId="1" applyFont="1" applyBorder="1" applyAlignment="1">
      <alignment wrapText="1"/>
    </xf>
    <xf numFmtId="164" fontId="54" fillId="0" borderId="8" xfId="2" applyNumberFormat="1" applyFont="1" applyBorder="1"/>
    <xf numFmtId="164" fontId="53" fillId="0" borderId="8" xfId="2" applyNumberFormat="1" applyFont="1" applyBorder="1"/>
    <xf numFmtId="0" fontId="53" fillId="0" borderId="7" xfId="1" applyFont="1" applyBorder="1"/>
    <xf numFmtId="3" fontId="52" fillId="8" borderId="5" xfId="1" applyNumberFormat="1" applyFont="1" applyFill="1" applyBorder="1"/>
    <xf numFmtId="0" fontId="54" fillId="0" borderId="0" xfId="0" applyFont="1" applyAlignment="1">
      <alignment horizontal="center"/>
    </xf>
    <xf numFmtId="3" fontId="54" fillId="0" borderId="0" xfId="0" applyNumberFormat="1" applyFont="1" applyAlignment="1">
      <alignment horizontal="center"/>
    </xf>
    <xf numFmtId="164" fontId="55" fillId="0" borderId="8" xfId="2" applyNumberFormat="1" applyFont="1" applyBorder="1"/>
    <xf numFmtId="164" fontId="7" fillId="0" borderId="5" xfId="2" applyNumberFormat="1" applyFont="1" applyFill="1" applyBorder="1" applyAlignment="1">
      <alignment horizontal="center"/>
    </xf>
    <xf numFmtId="164" fontId="7" fillId="0" borderId="14" xfId="2" applyNumberFormat="1" applyFont="1" applyFill="1" applyBorder="1"/>
    <xf numFmtId="43" fontId="7" fillId="17" borderId="8" xfId="2" applyFont="1" applyFill="1" applyBorder="1"/>
    <xf numFmtId="0" fontId="7" fillId="0" borderId="7" xfId="1" applyFont="1" applyBorder="1"/>
    <xf numFmtId="0" fontId="5" fillId="0" borderId="6" xfId="0" applyFont="1" applyBorder="1" applyAlignment="1">
      <alignment wrapText="1"/>
    </xf>
    <xf numFmtId="43" fontId="51" fillId="0" borderId="1" xfId="2" applyNumberFormat="1" applyFont="1" applyBorder="1" applyAlignment="1">
      <alignment horizontal="center" vertical="center"/>
    </xf>
    <xf numFmtId="0" fontId="56" fillId="0" borderId="8" xfId="1" applyFont="1" applyBorder="1"/>
    <xf numFmtId="0" fontId="57" fillId="0" borderId="1" xfId="1" applyFont="1" applyBorder="1"/>
    <xf numFmtId="43" fontId="41" fillId="0" borderId="1" xfId="0" applyNumberFormat="1" applyFont="1" applyBorder="1" applyAlignment="1">
      <alignment vertical="center" wrapText="1"/>
    </xf>
    <xf numFmtId="0" fontId="7" fillId="0" borderId="6" xfId="1" applyBorder="1" applyAlignment="1">
      <alignment wrapText="1"/>
    </xf>
    <xf numFmtId="0" fontId="7" fillId="0" borderId="1" xfId="1" applyFont="1" applyBorder="1"/>
    <xf numFmtId="0" fontId="7" fillId="0" borderId="0" xfId="1" applyBorder="1"/>
    <xf numFmtId="0" fontId="4" fillId="0" borderId="6" xfId="0" applyFont="1" applyBorder="1" applyAlignment="1">
      <alignment wrapText="1"/>
    </xf>
    <xf numFmtId="164" fontId="7" fillId="16" borderId="3" xfId="2" applyNumberFormat="1" applyFont="1" applyFill="1" applyBorder="1"/>
    <xf numFmtId="164" fontId="41" fillId="7" borderId="8" xfId="2" applyNumberFormat="1" applyFont="1" applyFill="1" applyBorder="1" applyAlignment="1">
      <alignment horizontal="center" vertical="center"/>
    </xf>
    <xf numFmtId="0" fontId="3" fillId="0" borderId="8" xfId="0" applyFont="1" applyBorder="1"/>
    <xf numFmtId="164" fontId="16" fillId="18" borderId="0" xfId="2" applyNumberFormat="1" applyFont="1" applyFill="1"/>
    <xf numFmtId="0" fontId="2" fillId="0" borderId="6" xfId="0" applyFont="1" applyBorder="1" applyAlignment="1">
      <alignment wrapText="1"/>
    </xf>
    <xf numFmtId="0" fontId="57" fillId="0" borderId="1" xfId="1" applyFont="1" applyFill="1" applyBorder="1"/>
    <xf numFmtId="164" fontId="49" fillId="0" borderId="0" xfId="2" applyNumberFormat="1" applyFont="1" applyFill="1" applyBorder="1" applyAlignment="1">
      <alignment vertical="center"/>
    </xf>
    <xf numFmtId="164" fontId="16" fillId="0" borderId="0" xfId="2" applyNumberFormat="1" applyFont="1" applyAlignment="1">
      <alignment horizontal="center"/>
    </xf>
    <xf numFmtId="0" fontId="16" fillId="0" borderId="0" xfId="0" applyFont="1" applyAlignment="1">
      <alignment wrapText="1"/>
    </xf>
    <xf numFmtId="164" fontId="16" fillId="0" borderId="0" xfId="2" applyNumberFormat="1" applyFont="1"/>
    <xf numFmtId="0" fontId="16" fillId="0" borderId="0" xfId="0" applyFont="1"/>
    <xf numFmtId="164" fontId="41" fillId="0" borderId="3" xfId="2" applyNumberFormat="1" applyFont="1" applyBorder="1" applyAlignment="1">
      <alignment horizontal="center"/>
    </xf>
    <xf numFmtId="164" fontId="41" fillId="16" borderId="21" xfId="2" applyNumberFormat="1" applyFont="1" applyFill="1" applyBorder="1" applyAlignment="1">
      <alignment horizontal="center"/>
    </xf>
    <xf numFmtId="164" fontId="41" fillId="16" borderId="3" xfId="2" applyNumberFormat="1" applyFont="1" applyFill="1" applyBorder="1" applyAlignment="1">
      <alignment horizontal="center"/>
    </xf>
    <xf numFmtId="0" fontId="58" fillId="14" borderId="8" xfId="1" applyFont="1" applyFill="1" applyBorder="1"/>
    <xf numFmtId="2" fontId="7" fillId="21" borderId="7" xfId="1" applyNumberFormat="1" applyFill="1" applyBorder="1" applyAlignment="1">
      <alignment wrapText="1"/>
    </xf>
    <xf numFmtId="2" fontId="7" fillId="22" borderId="7" xfId="1" applyNumberFormat="1" applyFill="1" applyBorder="1" applyAlignment="1">
      <alignment wrapText="1"/>
    </xf>
    <xf numFmtId="2" fontId="7" fillId="23" borderId="7" xfId="1" applyNumberFormat="1" applyFill="1" applyBorder="1" applyAlignment="1">
      <alignment wrapText="1"/>
    </xf>
    <xf numFmtId="2" fontId="7" fillId="24" borderId="7" xfId="1" applyNumberFormat="1" applyFill="1" applyBorder="1" applyAlignment="1">
      <alignment wrapText="1"/>
    </xf>
    <xf numFmtId="164" fontId="13" fillId="4" borderId="5" xfId="2" applyNumberFormat="1" applyFont="1" applyFill="1" applyBorder="1" applyAlignment="1">
      <alignment horizontal="center"/>
    </xf>
    <xf numFmtId="0" fontId="19" fillId="11" borderId="4" xfId="0" applyFont="1" applyFill="1" applyBorder="1"/>
    <xf numFmtId="0" fontId="19" fillId="11" borderId="1" xfId="0" applyFont="1" applyFill="1" applyBorder="1"/>
    <xf numFmtId="0" fontId="19" fillId="11" borderId="14" xfId="0" applyFont="1" applyFill="1" applyBorder="1"/>
    <xf numFmtId="0" fontId="20" fillId="15" borderId="2" xfId="0" applyFont="1" applyFill="1" applyBorder="1"/>
    <xf numFmtId="0" fontId="21" fillId="15" borderId="16" xfId="0" applyFont="1" applyFill="1" applyBorder="1"/>
    <xf numFmtId="0" fontId="21" fillId="15" borderId="17" xfId="0" applyFont="1" applyFill="1" applyBorder="1"/>
    <xf numFmtId="0" fontId="19" fillId="15" borderId="4" xfId="0" applyFont="1" applyFill="1" applyBorder="1"/>
    <xf numFmtId="0" fontId="0" fillId="15" borderId="1" xfId="0" applyFill="1" applyBorder="1"/>
    <xf numFmtId="0" fontId="0" fillId="15" borderId="14" xfId="0" applyFill="1" applyBorder="1"/>
    <xf numFmtId="0" fontId="9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19" xfId="0" applyFont="1" applyBorder="1"/>
    <xf numFmtId="0" fontId="15" fillId="0" borderId="18" xfId="0" applyFont="1" applyBorder="1"/>
    <xf numFmtId="0" fontId="15" fillId="0" borderId="20" xfId="0" applyFont="1" applyBorder="1"/>
    <xf numFmtId="0" fontId="11" fillId="0" borderId="0" xfId="0" applyFont="1"/>
    <xf numFmtId="0" fontId="20" fillId="11" borderId="2" xfId="0" applyFont="1" applyFill="1" applyBorder="1"/>
    <xf numFmtId="0" fontId="20" fillId="11" borderId="16" xfId="0" applyFont="1" applyFill="1" applyBorder="1"/>
    <xf numFmtId="0" fontId="20" fillId="11" borderId="16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14" fillId="9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14" fillId="2" borderId="2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164" fontId="40" fillId="17" borderId="0" xfId="2" applyNumberFormat="1" applyFont="1" applyFill="1" applyAlignment="1">
      <alignment horizontal="center" vertical="center"/>
    </xf>
    <xf numFmtId="164" fontId="16" fillId="18" borderId="0" xfId="2" applyNumberFormat="1" applyFont="1" applyFill="1" applyAlignment="1">
      <alignment horizontal="center" vertical="center"/>
    </xf>
    <xf numFmtId="0" fontId="9" fillId="0" borderId="3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3" fillId="0" borderId="0" xfId="0" applyFont="1"/>
    <xf numFmtId="164" fontId="53" fillId="16" borderId="8" xfId="2" applyNumberFormat="1" applyFont="1" applyFill="1" applyBorder="1"/>
    <xf numFmtId="0" fontId="53" fillId="16" borderId="7" xfId="1" applyFont="1" applyFill="1" applyBorder="1"/>
    <xf numFmtId="0" fontId="35" fillId="0" borderId="16" xfId="1" applyFont="1" applyBorder="1"/>
    <xf numFmtId="164" fontId="34" fillId="0" borderId="3" xfId="2" applyNumberFormat="1" applyFont="1" applyBorder="1" applyAlignment="1">
      <alignment horizontal="center"/>
    </xf>
    <xf numFmtId="43" fontId="35" fillId="0" borderId="5" xfId="2" applyFont="1" applyBorder="1"/>
    <xf numFmtId="164" fontId="13" fillId="16" borderId="4" xfId="2" applyNumberFormat="1" applyFont="1" applyFill="1" applyBorder="1" applyAlignment="1">
      <alignment horizontal="center"/>
    </xf>
    <xf numFmtId="0" fontId="1" fillId="0" borderId="6" xfId="0" applyFont="1" applyBorder="1" applyAlignment="1">
      <alignment wrapText="1"/>
    </xf>
    <xf numFmtId="0" fontId="16" fillId="23" borderId="0" xfId="0" applyFont="1" applyFill="1" applyAlignment="1">
      <alignment wrapText="1"/>
    </xf>
    <xf numFmtId="164" fontId="16" fillId="23" borderId="0" xfId="2" applyNumberFormat="1" applyFont="1" applyFill="1"/>
    <xf numFmtId="0" fontId="59" fillId="0" borderId="0" xfId="0" applyFont="1" applyAlignment="1">
      <alignment wrapText="1"/>
    </xf>
    <xf numFmtId="164" fontId="59" fillId="0" borderId="0" xfId="2" applyNumberFormat="1" applyFont="1" applyAlignment="1">
      <alignment horizontal="center"/>
    </xf>
    <xf numFmtId="164" fontId="59" fillId="0" borderId="0" xfId="2" applyNumberFormat="1" applyFont="1"/>
    <xf numFmtId="0" fontId="59" fillId="0" borderId="0" xfId="0" applyFont="1"/>
    <xf numFmtId="164" fontId="59" fillId="16" borderId="0" xfId="2" applyNumberFormat="1" applyFont="1" applyFill="1" applyAlignment="1">
      <alignment horizontal="center" vertical="center"/>
    </xf>
    <xf numFmtId="164" fontId="59" fillId="16" borderId="0" xfId="2" applyNumberFormat="1" applyFont="1" applyFill="1" applyAlignment="1">
      <alignment horizontal="center"/>
    </xf>
    <xf numFmtId="164" fontId="59" fillId="16" borderId="0" xfId="2" applyNumberFormat="1" applyFont="1" applyFill="1"/>
    <xf numFmtId="164" fontId="59" fillId="16" borderId="0" xfId="2" applyNumberFormat="1" applyFont="1" applyFill="1" applyAlignment="1">
      <alignment horizontal="center" vertical="center" wrapText="1"/>
    </xf>
    <xf numFmtId="164" fontId="59" fillId="0" borderId="0" xfId="2" applyNumberFormat="1" applyFont="1" applyAlignment="1">
      <alignment horizontal="center" vertical="center"/>
    </xf>
    <xf numFmtId="164" fontId="59" fillId="0" borderId="0" xfId="2" applyNumberFormat="1" applyFont="1" applyAlignment="1">
      <alignment horizontal="left"/>
    </xf>
    <xf numFmtId="164" fontId="60" fillId="0" borderId="0" xfId="2" applyNumberFormat="1" applyFont="1"/>
    <xf numFmtId="0" fontId="61" fillId="0" borderId="0" xfId="0" applyFont="1" applyAlignment="1">
      <alignment wrapText="1"/>
    </xf>
    <xf numFmtId="164" fontId="61" fillId="0" borderId="0" xfId="2" applyNumberFormat="1" applyFont="1" applyAlignment="1">
      <alignment horizontal="left"/>
    </xf>
    <xf numFmtId="164" fontId="61" fillId="0" borderId="0" xfId="2" applyNumberFormat="1" applyFont="1"/>
    <xf numFmtId="164" fontId="61" fillId="0" borderId="0" xfId="2" applyNumberFormat="1" applyFont="1" applyAlignment="1">
      <alignment horizontal="center"/>
    </xf>
    <xf numFmtId="0" fontId="61" fillId="0" borderId="0" xfId="0" applyFont="1"/>
    <xf numFmtId="43" fontId="61" fillId="0" borderId="0" xfId="2" applyNumberFormat="1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CC00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selection activeCell="Z20" sqref="Z20:Z21"/>
    </sheetView>
  </sheetViews>
  <sheetFormatPr defaultRowHeight="15" x14ac:dyDescent="0.25"/>
  <cols>
    <col min="4" max="4" width="9.85546875" bestFit="1" customWidth="1"/>
    <col min="5" max="5" width="1" customWidth="1"/>
    <col min="6" max="6" width="12" style="1" customWidth="1"/>
    <col min="7" max="7" width="10.85546875" style="1" customWidth="1"/>
    <col min="8" max="8" width="11.42578125" hidden="1" customWidth="1"/>
    <col min="9" max="9" width="10.42578125" style="1" hidden="1" customWidth="1"/>
    <col min="10" max="11" width="10.85546875" style="1" hidden="1" customWidth="1"/>
    <col min="12" max="12" width="10" hidden="1" customWidth="1"/>
    <col min="13" max="13" width="10.85546875" hidden="1" customWidth="1"/>
    <col min="14" max="14" width="12.5703125" hidden="1" customWidth="1"/>
    <col min="15" max="16" width="0.85546875" hidden="1" customWidth="1"/>
    <col min="17" max="17" width="0.7109375" hidden="1" customWidth="1"/>
    <col min="18" max="20" width="0.85546875" hidden="1" customWidth="1"/>
    <col min="21" max="21" width="11.28515625" style="1" customWidth="1"/>
    <col min="22" max="22" width="12" style="1" customWidth="1"/>
    <col min="23" max="23" width="16.140625" style="1" customWidth="1"/>
  </cols>
  <sheetData>
    <row r="1" spans="1:23" ht="6" customHeight="1" x14ac:dyDescent="0.25"/>
    <row r="2" spans="1:23" ht="21" customHeight="1" x14ac:dyDescent="0.25">
      <c r="A2" s="2"/>
      <c r="B2" s="3"/>
      <c r="C2" s="4"/>
      <c r="D2" s="4"/>
      <c r="E2" s="4"/>
      <c r="F2" s="5"/>
      <c r="G2" s="6" t="s">
        <v>0</v>
      </c>
      <c r="H2" s="6"/>
      <c r="I2" s="6"/>
      <c r="J2" s="6"/>
      <c r="K2" s="6"/>
      <c r="L2" s="6"/>
      <c r="M2" s="7"/>
      <c r="N2" s="8"/>
      <c r="O2" s="8"/>
      <c r="P2" s="8"/>
      <c r="Q2" s="8"/>
      <c r="R2" s="8"/>
      <c r="S2" s="8"/>
      <c r="T2" s="8"/>
      <c r="U2" s="8"/>
    </row>
    <row r="3" spans="1:23" ht="37.5" customHeight="1" x14ac:dyDescent="0.3">
      <c r="A3" s="405" t="s">
        <v>1</v>
      </c>
      <c r="B3" s="406"/>
      <c r="C3" s="406"/>
      <c r="D3" s="406"/>
      <c r="E3" s="407"/>
      <c r="F3" s="388" t="s">
        <v>2</v>
      </c>
      <c r="G3" s="388" t="s">
        <v>2</v>
      </c>
      <c r="H3" s="9" t="s">
        <v>3</v>
      </c>
      <c r="I3" s="386" t="s">
        <v>4</v>
      </c>
      <c r="J3" s="386" t="s">
        <v>5</v>
      </c>
      <c r="K3" s="386" t="s">
        <v>6</v>
      </c>
      <c r="L3" s="386" t="s">
        <v>7</v>
      </c>
      <c r="M3" s="10" t="s">
        <v>8</v>
      </c>
      <c r="N3" s="10" t="s">
        <v>9</v>
      </c>
      <c r="O3" s="9"/>
      <c r="P3" s="9"/>
      <c r="Q3" s="9"/>
      <c r="R3" s="9"/>
      <c r="S3" s="11"/>
      <c r="T3" s="11"/>
      <c r="U3" s="388" t="s">
        <v>10</v>
      </c>
      <c r="V3" s="388" t="s">
        <v>11</v>
      </c>
      <c r="W3" s="398" t="s">
        <v>12</v>
      </c>
    </row>
    <row r="4" spans="1:23" ht="0.75" customHeight="1" x14ac:dyDescent="0.25">
      <c r="A4" s="12"/>
      <c r="B4" s="13"/>
      <c r="C4" s="13"/>
      <c r="D4" s="13"/>
      <c r="E4" s="13"/>
      <c r="F4" s="389"/>
      <c r="G4" s="389"/>
      <c r="H4" s="14" t="s">
        <v>13</v>
      </c>
      <c r="I4" s="387"/>
      <c r="J4" s="387"/>
      <c r="K4" s="387"/>
      <c r="L4" s="387"/>
      <c r="M4" s="15" t="s">
        <v>8</v>
      </c>
      <c r="N4" s="15" t="s">
        <v>9</v>
      </c>
      <c r="O4" s="16" t="s">
        <v>14</v>
      </c>
      <c r="P4" s="16" t="s">
        <v>15</v>
      </c>
      <c r="Q4" s="16" t="s">
        <v>16</v>
      </c>
      <c r="R4" s="16" t="s">
        <v>17</v>
      </c>
      <c r="S4" s="17" t="s">
        <v>18</v>
      </c>
      <c r="T4" s="17" t="s">
        <v>19</v>
      </c>
      <c r="U4" s="389"/>
      <c r="V4" s="397"/>
      <c r="W4" s="399"/>
    </row>
    <row r="5" spans="1:23" ht="15.75" x14ac:dyDescent="0.25">
      <c r="A5" s="18" t="s">
        <v>20</v>
      </c>
      <c r="B5" s="19"/>
      <c r="C5" s="19"/>
      <c r="D5" s="19"/>
      <c r="E5" s="19"/>
      <c r="F5" s="20">
        <v>25090303</v>
      </c>
      <c r="G5" s="21">
        <f>F5/12</f>
        <v>2090858.5833333333</v>
      </c>
      <c r="H5" s="22"/>
      <c r="I5" s="23">
        <v>2150745</v>
      </c>
      <c r="J5" s="23">
        <v>2150245</v>
      </c>
      <c r="K5" s="23">
        <v>1812865</v>
      </c>
      <c r="L5" s="22">
        <v>1921915</v>
      </c>
      <c r="M5" s="24">
        <v>2257168</v>
      </c>
      <c r="N5" s="25">
        <v>1834383</v>
      </c>
      <c r="O5" s="26"/>
      <c r="P5" s="26"/>
      <c r="Q5" s="26"/>
      <c r="R5" s="26"/>
      <c r="S5" s="27"/>
      <c r="T5" s="27"/>
      <c r="U5" s="28">
        <f t="shared" ref="U5:U31" si="0">SUM(I5:T5)</f>
        <v>12127321</v>
      </c>
      <c r="V5" s="29">
        <f>G5*6</f>
        <v>12545151.5</v>
      </c>
      <c r="W5" s="30">
        <f>U5-V5</f>
        <v>-417830.5</v>
      </c>
    </row>
    <row r="6" spans="1:23" ht="15.75" x14ac:dyDescent="0.25">
      <c r="A6" s="18" t="s">
        <v>21</v>
      </c>
      <c r="B6" s="19"/>
      <c r="C6" s="19"/>
      <c r="D6" s="19"/>
      <c r="E6" s="19"/>
      <c r="F6" s="31"/>
      <c r="G6" s="31"/>
      <c r="H6" s="32"/>
      <c r="I6" s="31"/>
      <c r="J6" s="31"/>
      <c r="K6" s="31"/>
      <c r="L6" s="32"/>
      <c r="M6" s="33"/>
      <c r="N6" s="33"/>
      <c r="O6" s="32"/>
      <c r="P6" s="32"/>
      <c r="Q6" s="32"/>
      <c r="R6" s="32"/>
      <c r="S6" s="34"/>
      <c r="T6" s="27"/>
      <c r="U6" s="28">
        <f t="shared" si="0"/>
        <v>0</v>
      </c>
      <c r="V6" s="29"/>
      <c r="W6" s="35"/>
    </row>
    <row r="7" spans="1:23" ht="15.75" x14ac:dyDescent="0.25">
      <c r="A7" s="18" t="s">
        <v>22</v>
      </c>
      <c r="B7" s="19"/>
      <c r="C7" s="19"/>
      <c r="D7" s="19"/>
      <c r="E7" s="19"/>
      <c r="F7" s="36">
        <v>200000</v>
      </c>
      <c r="G7" s="37">
        <f>F7/12</f>
        <v>16666.666666666668</v>
      </c>
      <c r="H7" s="26"/>
      <c r="I7" s="23">
        <f>35940+340</f>
        <v>36280</v>
      </c>
      <c r="J7" s="23">
        <v>58470</v>
      </c>
      <c r="K7" s="23">
        <v>37120</v>
      </c>
      <c r="L7" s="22">
        <v>28150</v>
      </c>
      <c r="M7" s="24">
        <v>55530</v>
      </c>
      <c r="N7" s="25">
        <v>37600</v>
      </c>
      <c r="O7" s="26"/>
      <c r="P7" s="26"/>
      <c r="Q7" s="26"/>
      <c r="R7" s="26"/>
      <c r="S7" s="27"/>
      <c r="T7" s="27"/>
      <c r="U7" s="28">
        <f t="shared" si="0"/>
        <v>253150</v>
      </c>
      <c r="V7" s="29">
        <f>G7*6</f>
        <v>100000</v>
      </c>
      <c r="W7" s="30">
        <f>U7-V7</f>
        <v>153150</v>
      </c>
    </row>
    <row r="8" spans="1:23" ht="15.75" x14ac:dyDescent="0.25">
      <c r="A8" s="18" t="s">
        <v>23</v>
      </c>
      <c r="B8" s="19"/>
      <c r="C8" s="19"/>
      <c r="D8" s="19"/>
      <c r="E8" s="19"/>
      <c r="F8" s="31"/>
      <c r="G8" s="31"/>
      <c r="H8" s="32"/>
      <c r="I8" s="38"/>
      <c r="J8" s="38"/>
      <c r="K8" s="38"/>
      <c r="L8" s="26"/>
      <c r="M8" s="39"/>
      <c r="N8" s="39"/>
      <c r="O8" s="26"/>
      <c r="P8" s="26"/>
      <c r="Q8" s="26"/>
      <c r="R8" s="26"/>
      <c r="S8" s="27"/>
      <c r="T8" s="27"/>
      <c r="U8" s="28">
        <f t="shared" si="0"/>
        <v>0</v>
      </c>
      <c r="V8" s="29"/>
      <c r="W8" s="40"/>
    </row>
    <row r="9" spans="1:23" ht="15.75" x14ac:dyDescent="0.25">
      <c r="A9" s="41" t="s">
        <v>24</v>
      </c>
      <c r="B9" s="42"/>
      <c r="C9" s="43"/>
      <c r="D9" s="43"/>
      <c r="E9" s="43"/>
      <c r="F9" s="44"/>
      <c r="G9" s="44"/>
      <c r="H9" s="41"/>
      <c r="I9" s="45">
        <f>15000+99836+10860+240</f>
        <v>125936</v>
      </c>
      <c r="J9" s="45">
        <v>15240</v>
      </c>
      <c r="K9" s="46">
        <v>15240</v>
      </c>
      <c r="L9" s="47">
        <v>107699</v>
      </c>
      <c r="M9" s="48">
        <v>26100</v>
      </c>
      <c r="N9" s="49">
        <v>15240</v>
      </c>
      <c r="O9" s="41"/>
      <c r="P9" s="41"/>
      <c r="Q9" s="50"/>
      <c r="R9" s="41"/>
      <c r="S9" s="51"/>
      <c r="T9" s="51"/>
      <c r="U9" s="52">
        <f t="shared" si="0"/>
        <v>305455</v>
      </c>
      <c r="V9" s="53">
        <f>G9*5</f>
        <v>0</v>
      </c>
      <c r="W9" s="54">
        <f>U9-V9</f>
        <v>305455</v>
      </c>
    </row>
    <row r="10" spans="1:23" ht="15.75" x14ac:dyDescent="0.25">
      <c r="A10" s="400" t="s">
        <v>25</v>
      </c>
      <c r="B10" s="401"/>
      <c r="C10" s="401"/>
      <c r="D10" s="401"/>
      <c r="E10" s="402"/>
      <c r="F10" s="55">
        <f t="shared" ref="F10:N10" si="1">SUM(F5:F9)</f>
        <v>25290303</v>
      </c>
      <c r="G10" s="56">
        <f t="shared" si="1"/>
        <v>2107525.25</v>
      </c>
      <c r="H10" s="57">
        <f>SUM(H5:H9)</f>
        <v>0</v>
      </c>
      <c r="I10" s="58">
        <f t="shared" si="1"/>
        <v>2312961</v>
      </c>
      <c r="J10" s="58">
        <f t="shared" si="1"/>
        <v>2223955</v>
      </c>
      <c r="K10" s="58">
        <f t="shared" si="1"/>
        <v>1865225</v>
      </c>
      <c r="L10" s="58">
        <f t="shared" si="1"/>
        <v>2057764</v>
      </c>
      <c r="M10" s="58">
        <f t="shared" si="1"/>
        <v>2338798</v>
      </c>
      <c r="N10" s="58">
        <f t="shared" si="1"/>
        <v>1887223</v>
      </c>
      <c r="O10" s="59"/>
      <c r="P10" s="59"/>
      <c r="Q10" s="59"/>
      <c r="R10" s="59"/>
      <c r="S10" s="60"/>
      <c r="T10" s="60"/>
      <c r="U10" s="61">
        <f>SUM(I10:T10)</f>
        <v>12685926</v>
      </c>
      <c r="V10" s="29">
        <f>G10*6</f>
        <v>12645151.5</v>
      </c>
      <c r="W10" s="62">
        <f>U10-V10</f>
        <v>40774.5</v>
      </c>
    </row>
    <row r="11" spans="1:23" ht="33" customHeight="1" x14ac:dyDescent="0.3">
      <c r="A11" s="403" t="s">
        <v>26</v>
      </c>
      <c r="B11" s="404"/>
      <c r="C11" s="404"/>
      <c r="D11" s="404"/>
      <c r="E11" s="404"/>
      <c r="F11" s="63"/>
      <c r="G11" s="63"/>
      <c r="H11" s="64"/>
      <c r="I11" s="63"/>
      <c r="J11" s="63"/>
      <c r="K11" s="63"/>
      <c r="L11" s="64"/>
      <c r="M11" s="65"/>
      <c r="N11" s="65"/>
      <c r="O11" s="64"/>
      <c r="P11" s="64"/>
      <c r="Q11" s="64"/>
      <c r="R11" s="64"/>
      <c r="S11" s="66"/>
      <c r="T11" s="66"/>
      <c r="U11" s="67"/>
      <c r="V11" s="68"/>
      <c r="W11" s="69" t="s">
        <v>27</v>
      </c>
    </row>
    <row r="12" spans="1:23" ht="15.75" x14ac:dyDescent="0.25">
      <c r="A12" s="70" t="s">
        <v>28</v>
      </c>
      <c r="B12" s="71"/>
      <c r="C12" s="71"/>
      <c r="D12" s="71"/>
      <c r="E12" s="71"/>
      <c r="F12" s="20">
        <v>900000</v>
      </c>
      <c r="G12" s="21">
        <f t="shared" ref="G12:G31" si="2">F12/12</f>
        <v>75000</v>
      </c>
      <c r="H12" s="32"/>
      <c r="I12" s="72" t="e">
        <f>'общехоз расходы'!#REF!</f>
        <v>#REF!</v>
      </c>
      <c r="J12" s="72" t="e">
        <f>'общехоз расходы'!#REF!</f>
        <v>#REF!</v>
      </c>
      <c r="K12" s="72" t="e">
        <f>'общехоз расходы'!#REF!</f>
        <v>#REF!</v>
      </c>
      <c r="L12" s="72" t="e">
        <f>'общехоз расходы'!#REF!</f>
        <v>#REF!</v>
      </c>
      <c r="M12" s="72" t="e">
        <f>'общехоз расходы'!#REF!</f>
        <v>#REF!</v>
      </c>
      <c r="N12" s="72">
        <f>'общехоз расходы'!B84</f>
        <v>0</v>
      </c>
      <c r="O12" s="26"/>
      <c r="P12" s="26"/>
      <c r="Q12" s="26"/>
      <c r="R12" s="26"/>
      <c r="S12" s="27"/>
      <c r="T12" s="27"/>
      <c r="U12" s="28" t="e">
        <f t="shared" si="0"/>
        <v>#REF!</v>
      </c>
      <c r="V12" s="29">
        <f t="shared" ref="V12:V31" si="3">G12*6</f>
        <v>450000</v>
      </c>
      <c r="W12" s="73" t="e">
        <f t="shared" ref="W12:W31" si="4">V12-U12</f>
        <v>#REF!</v>
      </c>
    </row>
    <row r="13" spans="1:23" ht="15.75" x14ac:dyDescent="0.25">
      <c r="A13" s="12" t="s">
        <v>29</v>
      </c>
      <c r="B13" s="13"/>
      <c r="C13" s="13"/>
      <c r="D13" s="13"/>
      <c r="E13" s="13"/>
      <c r="F13" s="55">
        <v>160000</v>
      </c>
      <c r="G13" s="21">
        <f t="shared" si="2"/>
        <v>13333.333333333334</v>
      </c>
      <c r="H13" s="74"/>
      <c r="I13" s="75" t="e">
        <f>'прогр обесп'!#REF!</f>
        <v>#REF!</v>
      </c>
      <c r="J13" s="75" t="e">
        <f>'прогр обесп'!#REF!</f>
        <v>#REF!</v>
      </c>
      <c r="K13" s="75" t="e">
        <f>'прогр обесп'!#REF!</f>
        <v>#REF!</v>
      </c>
      <c r="L13" s="75" t="e">
        <f>'прогр обесп'!#REF!</f>
        <v>#REF!</v>
      </c>
      <c r="M13" s="75" t="e">
        <f>'прогр обесп'!#REF!</f>
        <v>#REF!</v>
      </c>
      <c r="N13" s="75">
        <f>'прогр обесп'!B10</f>
        <v>17000</v>
      </c>
      <c r="O13" s="59"/>
      <c r="P13" s="59"/>
      <c r="Q13" s="59"/>
      <c r="R13" s="59"/>
      <c r="S13" s="60"/>
      <c r="T13" s="60"/>
      <c r="U13" s="28" t="e">
        <f t="shared" si="0"/>
        <v>#REF!</v>
      </c>
      <c r="V13" s="29">
        <f t="shared" si="3"/>
        <v>80000</v>
      </c>
      <c r="W13" s="73" t="e">
        <f t="shared" si="4"/>
        <v>#REF!</v>
      </c>
    </row>
    <row r="14" spans="1:23" ht="15.75" x14ac:dyDescent="0.25">
      <c r="A14" s="70" t="s">
        <v>30</v>
      </c>
      <c r="B14" s="71"/>
      <c r="C14" s="71"/>
      <c r="D14" s="71"/>
      <c r="E14" s="76"/>
      <c r="F14" s="20">
        <v>140000</v>
      </c>
      <c r="G14" s="21">
        <f t="shared" si="2"/>
        <v>11666.666666666666</v>
      </c>
      <c r="H14" s="32"/>
      <c r="I14" s="72" t="e">
        <f>связь!#REF!</f>
        <v>#REF!</v>
      </c>
      <c r="J14" s="72" t="e">
        <f>связь!#REF!</f>
        <v>#REF!</v>
      </c>
      <c r="K14" s="72" t="e">
        <f>связь!#REF!</f>
        <v>#REF!</v>
      </c>
      <c r="L14" s="72" t="e">
        <f>связь!#REF!</f>
        <v>#REF!</v>
      </c>
      <c r="M14" s="72" t="e">
        <f>связь!#REF!</f>
        <v>#REF!</v>
      </c>
      <c r="N14" s="72">
        <f>связь!B9</f>
        <v>6200</v>
      </c>
      <c r="O14" s="26"/>
      <c r="P14" s="26"/>
      <c r="Q14" s="26"/>
      <c r="R14" s="26"/>
      <c r="S14" s="27"/>
      <c r="T14" s="27"/>
      <c r="U14" s="28" t="e">
        <f t="shared" si="0"/>
        <v>#REF!</v>
      </c>
      <c r="V14" s="29">
        <f t="shared" si="3"/>
        <v>70000</v>
      </c>
      <c r="W14" s="73" t="e">
        <f t="shared" si="4"/>
        <v>#REF!</v>
      </c>
    </row>
    <row r="15" spans="1:23" ht="15.75" x14ac:dyDescent="0.25">
      <c r="A15" s="12" t="s">
        <v>31</v>
      </c>
      <c r="B15" s="13"/>
      <c r="C15" s="13"/>
      <c r="D15" s="13"/>
      <c r="E15" s="77"/>
      <c r="F15" s="55">
        <v>300000</v>
      </c>
      <c r="G15" s="21">
        <f t="shared" si="2"/>
        <v>25000</v>
      </c>
      <c r="H15" s="74"/>
      <c r="I15" s="75" t="e">
        <f>#REF!</f>
        <v>#REF!</v>
      </c>
      <c r="J15" s="75" t="e">
        <f>#REF!</f>
        <v>#REF!</v>
      </c>
      <c r="K15" s="75" t="e">
        <f>#REF!</f>
        <v>#REF!</v>
      </c>
      <c r="L15" s="75" t="e">
        <f>#REF!</f>
        <v>#REF!</v>
      </c>
      <c r="M15" s="75" t="e">
        <f>'прогр обесп'!#REF!</f>
        <v>#REF!</v>
      </c>
      <c r="N15" s="75">
        <f>'прогр обесп'!B12</f>
        <v>0</v>
      </c>
      <c r="O15" s="59"/>
      <c r="P15" s="59"/>
      <c r="Q15" s="59"/>
      <c r="R15" s="59"/>
      <c r="S15" s="60"/>
      <c r="T15" s="60"/>
      <c r="U15" s="28" t="e">
        <f t="shared" si="0"/>
        <v>#REF!</v>
      </c>
      <c r="V15" s="29">
        <f t="shared" si="3"/>
        <v>150000</v>
      </c>
      <c r="W15" s="73" t="e">
        <f t="shared" si="4"/>
        <v>#REF!</v>
      </c>
    </row>
    <row r="16" spans="1:23" ht="15.75" x14ac:dyDescent="0.25">
      <c r="A16" s="12" t="s">
        <v>32</v>
      </c>
      <c r="B16" s="13"/>
      <c r="C16" s="13"/>
      <c r="D16" s="13"/>
      <c r="E16" s="77"/>
      <c r="F16" s="55">
        <v>7890000</v>
      </c>
      <c r="G16" s="21">
        <f t="shared" si="2"/>
        <v>657500</v>
      </c>
      <c r="H16" s="74"/>
      <c r="I16" s="75" t="e">
        <f>'з пл'!#REF!</f>
        <v>#REF!</v>
      </c>
      <c r="J16" s="75" t="e">
        <f>'з пл'!#REF!</f>
        <v>#REF!</v>
      </c>
      <c r="K16" s="75" t="e">
        <f>'з пл'!#REF!</f>
        <v>#REF!</v>
      </c>
      <c r="L16" s="75" t="e">
        <f>'з пл'!#REF!</f>
        <v>#REF!</v>
      </c>
      <c r="M16" s="75" t="e">
        <f>'з пл'!#REF!</f>
        <v>#REF!</v>
      </c>
      <c r="N16" s="75">
        <f>'з пл'!B6</f>
        <v>731270.01</v>
      </c>
      <c r="O16" s="59"/>
      <c r="P16" s="59"/>
      <c r="Q16" s="59"/>
      <c r="R16" s="59"/>
      <c r="S16" s="60"/>
      <c r="T16" s="60"/>
      <c r="U16" s="28" t="e">
        <f t="shared" si="0"/>
        <v>#REF!</v>
      </c>
      <c r="V16" s="29">
        <f t="shared" si="3"/>
        <v>3945000</v>
      </c>
      <c r="W16" s="73" t="e">
        <f t="shared" si="4"/>
        <v>#REF!</v>
      </c>
    </row>
    <row r="17" spans="1:24" ht="15.75" x14ac:dyDescent="0.25">
      <c r="A17" s="12" t="s">
        <v>33</v>
      </c>
      <c r="B17" s="13"/>
      <c r="C17" s="13"/>
      <c r="D17" s="13"/>
      <c r="E17" s="13"/>
      <c r="F17" s="55">
        <v>500000</v>
      </c>
      <c r="G17" s="21">
        <f t="shared" si="2"/>
        <v>41666.666666666664</v>
      </c>
      <c r="H17" s="74"/>
      <c r="I17" s="75" t="e">
        <f>премии!#REF!</f>
        <v>#REF!</v>
      </c>
      <c r="J17" s="75" t="e">
        <f>премии!#REF!</f>
        <v>#REF!</v>
      </c>
      <c r="K17" s="75" t="e">
        <f>премии!#REF!</f>
        <v>#REF!</v>
      </c>
      <c r="L17" s="75" t="e">
        <f>премии!#REF!</f>
        <v>#REF!</v>
      </c>
      <c r="M17" s="75" t="e">
        <f>премии!#REF!</f>
        <v>#REF!</v>
      </c>
      <c r="N17" s="75">
        <f>премии!B5</f>
        <v>40000</v>
      </c>
      <c r="O17" s="59"/>
      <c r="P17" s="59"/>
      <c r="Q17" s="59"/>
      <c r="R17" s="59"/>
      <c r="S17" s="60"/>
      <c r="T17" s="60"/>
      <c r="U17" s="28" t="e">
        <f t="shared" si="0"/>
        <v>#REF!</v>
      </c>
      <c r="V17" s="29">
        <f t="shared" si="3"/>
        <v>250000</v>
      </c>
      <c r="W17" s="73" t="e">
        <f t="shared" si="4"/>
        <v>#REF!</v>
      </c>
    </row>
    <row r="18" spans="1:24" ht="15.75" x14ac:dyDescent="0.25">
      <c r="A18" s="12" t="s">
        <v>34</v>
      </c>
      <c r="B18" s="13"/>
      <c r="C18" s="13"/>
      <c r="D18" s="13"/>
      <c r="E18" s="13"/>
      <c r="F18" s="55">
        <v>2517000</v>
      </c>
      <c r="G18" s="21">
        <f t="shared" si="2"/>
        <v>209750</v>
      </c>
      <c r="H18" s="74"/>
      <c r="I18" s="75" t="e">
        <f>'налог с ФОТ'!#REF!</f>
        <v>#REF!</v>
      </c>
      <c r="J18" s="75" t="e">
        <f>'налог с ФОТ'!#REF!</f>
        <v>#REF!</v>
      </c>
      <c r="K18" s="75" t="e">
        <f>'налог с ФОТ'!#REF!</f>
        <v>#REF!</v>
      </c>
      <c r="L18" s="75" t="e">
        <f>'налог с ФОТ'!#REF!</f>
        <v>#REF!</v>
      </c>
      <c r="M18" s="75" t="e">
        <f>'налог с ФОТ'!#REF!</f>
        <v>#REF!</v>
      </c>
      <c r="N18" s="75">
        <f>'налог с ФОТ'!B6</f>
        <v>292625.02999999997</v>
      </c>
      <c r="O18" s="59"/>
      <c r="P18" s="59"/>
      <c r="Q18" s="59"/>
      <c r="R18" s="59"/>
      <c r="S18" s="60"/>
      <c r="T18" s="60"/>
      <c r="U18" s="28" t="e">
        <f t="shared" si="0"/>
        <v>#REF!</v>
      </c>
      <c r="V18" s="29">
        <f t="shared" si="3"/>
        <v>1258500</v>
      </c>
      <c r="W18" s="73" t="e">
        <f t="shared" si="4"/>
        <v>#REF!</v>
      </c>
    </row>
    <row r="19" spans="1:24" ht="15.75" x14ac:dyDescent="0.25">
      <c r="A19" s="12" t="s">
        <v>35</v>
      </c>
      <c r="B19" s="13"/>
      <c r="C19" s="13"/>
      <c r="D19" s="13"/>
      <c r="E19" s="13"/>
      <c r="F19" s="55">
        <v>200000</v>
      </c>
      <c r="G19" s="21">
        <f t="shared" si="2"/>
        <v>16666.666666666668</v>
      </c>
      <c r="H19" s="74"/>
      <c r="I19" s="75" t="e">
        <f>#REF!</f>
        <v>#REF!</v>
      </c>
      <c r="J19" s="75" t="e">
        <f>#REF!</f>
        <v>#REF!</v>
      </c>
      <c r="K19" s="75" t="e">
        <f>#REF!</f>
        <v>#REF!</v>
      </c>
      <c r="L19" s="75" t="e">
        <f>#REF!</f>
        <v>#REF!</v>
      </c>
      <c r="M19" s="75" t="e">
        <f>#REF!</f>
        <v>#REF!</v>
      </c>
      <c r="N19" s="75" t="e">
        <f>#REF!</f>
        <v>#REF!</v>
      </c>
      <c r="O19" s="59"/>
      <c r="P19" s="59"/>
      <c r="Q19" s="59"/>
      <c r="R19" s="59"/>
      <c r="S19" s="60"/>
      <c r="T19" s="60"/>
      <c r="U19" s="28" t="e">
        <f t="shared" si="0"/>
        <v>#REF!</v>
      </c>
      <c r="V19" s="29">
        <f t="shared" si="3"/>
        <v>100000</v>
      </c>
      <c r="W19" s="73" t="e">
        <f t="shared" si="4"/>
        <v>#REF!</v>
      </c>
    </row>
    <row r="20" spans="1:24" ht="15.75" x14ac:dyDescent="0.25">
      <c r="A20" s="70" t="s">
        <v>36</v>
      </c>
      <c r="B20" s="71"/>
      <c r="C20" s="71"/>
      <c r="D20" s="71"/>
      <c r="E20" s="71"/>
      <c r="F20" s="20">
        <v>1950000</v>
      </c>
      <c r="G20" s="21">
        <f t="shared" si="2"/>
        <v>162500</v>
      </c>
      <c r="H20" s="32"/>
      <c r="I20" s="72" t="e">
        <f>мусор!#REF!</f>
        <v>#REF!</v>
      </c>
      <c r="J20" s="72" t="e">
        <f>мусор!#REF!</f>
        <v>#REF!</v>
      </c>
      <c r="K20" s="72" t="e">
        <f>мусор!#REF!</f>
        <v>#REF!</v>
      </c>
      <c r="L20" s="72" t="e">
        <f>мусор!#REF!</f>
        <v>#REF!</v>
      </c>
      <c r="M20" s="72" t="e">
        <f>мусор!#REF!</f>
        <v>#REF!</v>
      </c>
      <c r="N20" s="72">
        <f>мусор!B10</f>
        <v>609000</v>
      </c>
      <c r="O20" s="26"/>
      <c r="P20" s="26"/>
      <c r="Q20" s="26"/>
      <c r="R20" s="26"/>
      <c r="S20" s="27"/>
      <c r="T20" s="27"/>
      <c r="U20" s="28" t="e">
        <f t="shared" si="0"/>
        <v>#REF!</v>
      </c>
      <c r="V20" s="29">
        <f t="shared" si="3"/>
        <v>975000</v>
      </c>
      <c r="W20" s="73" t="e">
        <f t="shared" si="4"/>
        <v>#REF!</v>
      </c>
    </row>
    <row r="21" spans="1:24" ht="15.75" x14ac:dyDescent="0.25">
      <c r="A21" s="70" t="s">
        <v>37</v>
      </c>
      <c r="B21" s="71"/>
      <c r="C21" s="71"/>
      <c r="D21" s="71"/>
      <c r="E21" s="76"/>
      <c r="F21" s="20">
        <v>7400000</v>
      </c>
      <c r="G21" s="21">
        <f t="shared" si="2"/>
        <v>616666.66666666663</v>
      </c>
      <c r="H21" s="32"/>
      <c r="I21" s="72" t="e">
        <f>#REF!</f>
        <v>#REF!</v>
      </c>
      <c r="J21" s="72" t="e">
        <f>#REF!</f>
        <v>#REF!</v>
      </c>
      <c r="K21" s="72" t="e">
        <f>#REF!</f>
        <v>#REF!</v>
      </c>
      <c r="L21" s="72" t="e">
        <f>#REF!</f>
        <v>#REF!</v>
      </c>
      <c r="M21" s="72" t="e">
        <f>#REF!</f>
        <v>#REF!</v>
      </c>
      <c r="N21" s="72" t="e">
        <f>#REF!</f>
        <v>#REF!</v>
      </c>
      <c r="O21" s="26"/>
      <c r="P21" s="26"/>
      <c r="Q21" s="26"/>
      <c r="R21" s="26"/>
      <c r="S21" s="27"/>
      <c r="T21" s="27"/>
      <c r="U21" s="28" t="e">
        <f t="shared" si="0"/>
        <v>#REF!</v>
      </c>
      <c r="V21" s="29">
        <f t="shared" si="3"/>
        <v>3700000</v>
      </c>
      <c r="W21" s="73" t="e">
        <f t="shared" si="4"/>
        <v>#REF!</v>
      </c>
    </row>
    <row r="22" spans="1:24" ht="15.75" x14ac:dyDescent="0.25">
      <c r="A22" s="12" t="s">
        <v>38</v>
      </c>
      <c r="B22" s="13"/>
      <c r="C22" s="13"/>
      <c r="D22" s="13"/>
      <c r="E22" s="13"/>
      <c r="F22" s="55">
        <v>230000</v>
      </c>
      <c r="G22" s="21">
        <f t="shared" si="2"/>
        <v>19166.666666666668</v>
      </c>
      <c r="H22" s="74"/>
      <c r="I22" s="75" t="e">
        <f>#REF!</f>
        <v>#REF!</v>
      </c>
      <c r="J22" s="75" t="e">
        <f>#REF!</f>
        <v>#REF!</v>
      </c>
      <c r="K22" s="75" t="e">
        <f>#REF!</f>
        <v>#REF!</v>
      </c>
      <c r="L22" s="75" t="e">
        <f>#REF!</f>
        <v>#REF!</v>
      </c>
      <c r="M22" s="75" t="e">
        <f>#REF!</f>
        <v>#REF!</v>
      </c>
      <c r="N22" s="75" t="e">
        <f>#REF!</f>
        <v>#REF!</v>
      </c>
      <c r="O22" s="59"/>
      <c r="P22" s="59"/>
      <c r="Q22" s="59"/>
      <c r="R22" s="59"/>
      <c r="S22" s="60"/>
      <c r="T22" s="60"/>
      <c r="U22" s="28" t="e">
        <f t="shared" si="0"/>
        <v>#REF!</v>
      </c>
      <c r="V22" s="29">
        <f t="shared" si="3"/>
        <v>115000</v>
      </c>
      <c r="W22" s="73" t="e">
        <f t="shared" si="4"/>
        <v>#REF!</v>
      </c>
    </row>
    <row r="23" spans="1:24" ht="15.75" x14ac:dyDescent="0.25">
      <c r="A23" s="70" t="s">
        <v>39</v>
      </c>
      <c r="B23" s="71"/>
      <c r="C23" s="71"/>
      <c r="D23" s="71"/>
      <c r="E23" s="71"/>
      <c r="F23" s="20">
        <v>1240000</v>
      </c>
      <c r="G23" s="21">
        <f t="shared" si="2"/>
        <v>103333.33333333333</v>
      </c>
      <c r="H23" s="32"/>
      <c r="I23" s="72" t="e">
        <f>вода!#REF!</f>
        <v>#REF!</v>
      </c>
      <c r="J23" s="72" t="e">
        <f>вода!#REF!</f>
        <v>#REF!</v>
      </c>
      <c r="K23" s="72" t="e">
        <f>вода!#REF!</f>
        <v>#REF!</v>
      </c>
      <c r="L23" s="72" t="e">
        <f>вода!#REF!</f>
        <v>#REF!</v>
      </c>
      <c r="M23" s="72" t="e">
        <f>вода!#REF!</f>
        <v>#REF!</v>
      </c>
      <c r="N23" s="72">
        <f>вода!B32</f>
        <v>32764.799999999999</v>
      </c>
      <c r="O23" s="26"/>
      <c r="P23" s="26"/>
      <c r="Q23" s="26"/>
      <c r="R23" s="26"/>
      <c r="S23" s="27"/>
      <c r="T23" s="27"/>
      <c r="U23" s="28" t="e">
        <f t="shared" si="0"/>
        <v>#REF!</v>
      </c>
      <c r="V23" s="29">
        <f t="shared" si="3"/>
        <v>620000</v>
      </c>
      <c r="W23" s="73" t="e">
        <f t="shared" si="4"/>
        <v>#REF!</v>
      </c>
    </row>
    <row r="24" spans="1:24" ht="15.75" x14ac:dyDescent="0.25">
      <c r="A24" s="70" t="s">
        <v>40</v>
      </c>
      <c r="B24" s="71"/>
      <c r="C24" s="71"/>
      <c r="D24" s="71"/>
      <c r="E24" s="71"/>
      <c r="F24" s="20">
        <f>250000+480000</f>
        <v>730000</v>
      </c>
      <c r="G24" s="21">
        <f t="shared" si="2"/>
        <v>60833.333333333336</v>
      </c>
      <c r="H24" s="32"/>
      <c r="I24" s="72" t="e">
        <f>#REF!</f>
        <v>#REF!</v>
      </c>
      <c r="J24" s="72" t="e">
        <f>#REF!</f>
        <v>#REF!</v>
      </c>
      <c r="K24" s="72" t="e">
        <f>#REF!</f>
        <v>#REF!</v>
      </c>
      <c r="L24" s="72" t="e">
        <f>#REF!</f>
        <v>#REF!</v>
      </c>
      <c r="M24" s="72" t="e">
        <f>#REF!</f>
        <v>#REF!</v>
      </c>
      <c r="N24" s="72" t="e">
        <f>#REF!</f>
        <v>#REF!</v>
      </c>
      <c r="O24" s="26"/>
      <c r="P24" s="26"/>
      <c r="Q24" s="26"/>
      <c r="R24" s="26"/>
      <c r="S24" s="27"/>
      <c r="T24" s="27"/>
      <c r="U24" s="28" t="e">
        <f t="shared" si="0"/>
        <v>#REF!</v>
      </c>
      <c r="V24" s="29">
        <f t="shared" si="3"/>
        <v>365000</v>
      </c>
      <c r="W24" s="73" t="e">
        <f t="shared" si="4"/>
        <v>#REF!</v>
      </c>
    </row>
    <row r="25" spans="1:24" ht="15.75" x14ac:dyDescent="0.25">
      <c r="A25" s="70" t="s">
        <v>41</v>
      </c>
      <c r="B25" s="71"/>
      <c r="C25" s="71"/>
      <c r="D25" s="71"/>
      <c r="E25" s="71"/>
      <c r="F25" s="20">
        <v>250000</v>
      </c>
      <c r="G25" s="21">
        <f t="shared" si="2"/>
        <v>20833.333333333332</v>
      </c>
      <c r="H25" s="32"/>
      <c r="I25" s="72" t="e">
        <f>#REF!</f>
        <v>#REF!</v>
      </c>
      <c r="J25" s="72" t="e">
        <f>#REF!</f>
        <v>#REF!</v>
      </c>
      <c r="K25" s="72" t="e">
        <f>#REF!</f>
        <v>#REF!</v>
      </c>
      <c r="L25" s="72" t="e">
        <f>#REF!</f>
        <v>#REF!</v>
      </c>
      <c r="M25" s="72" t="e">
        <f>#REF!</f>
        <v>#REF!</v>
      </c>
      <c r="N25" s="72" t="e">
        <f>#REF!</f>
        <v>#REF!</v>
      </c>
      <c r="O25" s="26"/>
      <c r="P25" s="26"/>
      <c r="Q25" s="26"/>
      <c r="R25" s="26"/>
      <c r="S25" s="27"/>
      <c r="T25" s="27"/>
      <c r="U25" s="28" t="e">
        <f t="shared" si="0"/>
        <v>#REF!</v>
      </c>
      <c r="V25" s="29">
        <f t="shared" si="3"/>
        <v>125000</v>
      </c>
      <c r="W25" s="73" t="e">
        <f t="shared" si="4"/>
        <v>#REF!</v>
      </c>
    </row>
    <row r="26" spans="1:24" ht="15.75" x14ac:dyDescent="0.25">
      <c r="A26" s="70" t="s">
        <v>42</v>
      </c>
      <c r="B26" s="71"/>
      <c r="C26" s="71"/>
      <c r="D26" s="71"/>
      <c r="E26" s="71"/>
      <c r="F26" s="20">
        <v>1800000</v>
      </c>
      <c r="G26" s="21">
        <f t="shared" si="2"/>
        <v>150000</v>
      </c>
      <c r="H26" s="32"/>
      <c r="I26" s="72" t="e">
        <f>эл.снабж!#REF!</f>
        <v>#REF!</v>
      </c>
      <c r="J26" s="72" t="e">
        <f>эл.снабж!#REF!</f>
        <v>#REF!</v>
      </c>
      <c r="K26" s="72" t="e">
        <f>эл.снабж!#REF!</f>
        <v>#REF!</v>
      </c>
      <c r="L26" s="72" t="e">
        <f>эл.снабж!#REF!</f>
        <v>#REF!</v>
      </c>
      <c r="M26" s="72" t="e">
        <f>эл.снабж!#REF!</f>
        <v>#REF!</v>
      </c>
      <c r="N26" s="72">
        <f>эл.снабж!B77</f>
        <v>232766.64</v>
      </c>
      <c r="O26" s="26"/>
      <c r="P26" s="26"/>
      <c r="Q26" s="26"/>
      <c r="R26" s="26"/>
      <c r="S26" s="27"/>
      <c r="T26" s="27"/>
      <c r="U26" s="28" t="e">
        <f t="shared" si="0"/>
        <v>#REF!</v>
      </c>
      <c r="V26" s="29">
        <f t="shared" si="3"/>
        <v>900000</v>
      </c>
      <c r="W26" s="73" t="e">
        <f t="shared" si="4"/>
        <v>#REF!</v>
      </c>
    </row>
    <row r="27" spans="1:24" ht="15.75" x14ac:dyDescent="0.25">
      <c r="A27" s="70" t="s">
        <v>43</v>
      </c>
      <c r="B27" s="71"/>
      <c r="C27" s="71"/>
      <c r="D27" s="71"/>
      <c r="E27" s="71"/>
      <c r="F27" s="20">
        <v>1700000</v>
      </c>
      <c r="G27" s="21">
        <f t="shared" si="2"/>
        <v>141666.66666666666</v>
      </c>
      <c r="H27" s="32"/>
      <c r="I27" s="72" t="e">
        <f>#REF!</f>
        <v>#REF!</v>
      </c>
      <c r="J27" s="72" t="e">
        <f>#REF!</f>
        <v>#REF!</v>
      </c>
      <c r="K27" s="72" t="e">
        <f>#REF!</f>
        <v>#REF!</v>
      </c>
      <c r="L27" s="72" t="e">
        <f>#REF!</f>
        <v>#REF!</v>
      </c>
      <c r="M27" s="72" t="e">
        <f>#REF!</f>
        <v>#REF!</v>
      </c>
      <c r="N27" s="72" t="e">
        <f>#REF!</f>
        <v>#REF!</v>
      </c>
      <c r="O27" s="26"/>
      <c r="P27" s="26"/>
      <c r="Q27" s="26"/>
      <c r="R27" s="26"/>
      <c r="S27" s="27"/>
      <c r="T27" s="27"/>
      <c r="U27" s="28" t="e">
        <f t="shared" si="0"/>
        <v>#REF!</v>
      </c>
      <c r="V27" s="29">
        <f t="shared" si="3"/>
        <v>850000</v>
      </c>
      <c r="W27" s="73" t="e">
        <f t="shared" si="4"/>
        <v>#REF!</v>
      </c>
    </row>
    <row r="28" spans="1:24" ht="15.75" x14ac:dyDescent="0.25">
      <c r="A28" s="70" t="s">
        <v>44</v>
      </c>
      <c r="B28" s="71"/>
      <c r="C28" s="71"/>
      <c r="D28" s="71"/>
      <c r="E28" s="71"/>
      <c r="F28" s="20">
        <v>600000</v>
      </c>
      <c r="G28" s="21">
        <f t="shared" si="2"/>
        <v>50000</v>
      </c>
      <c r="H28" s="32"/>
      <c r="I28" s="72" t="e">
        <f>'спец авто транспорт'!#REF!</f>
        <v>#REF!</v>
      </c>
      <c r="J28" s="72" t="e">
        <f>'спец авто транспорт'!#REF!</f>
        <v>#REF!</v>
      </c>
      <c r="K28" s="72" t="e">
        <f>'спец авто транспорт'!#REF!</f>
        <v>#REF!</v>
      </c>
      <c r="L28" s="72" t="e">
        <f>'спец авто транспорт'!#REF!</f>
        <v>#REF!</v>
      </c>
      <c r="M28" s="72" t="e">
        <f>'спец авто транспорт'!#REF!</f>
        <v>#REF!</v>
      </c>
      <c r="N28" s="72">
        <f>'спец авто транспорт'!B47</f>
        <v>55368</v>
      </c>
      <c r="O28" s="26"/>
      <c r="P28" s="26"/>
      <c r="Q28" s="26"/>
      <c r="R28" s="26"/>
      <c r="S28" s="27"/>
      <c r="T28" s="27"/>
      <c r="U28" s="28" t="e">
        <f t="shared" si="0"/>
        <v>#REF!</v>
      </c>
      <c r="V28" s="29">
        <f t="shared" si="3"/>
        <v>300000</v>
      </c>
      <c r="W28" s="73" t="e">
        <f t="shared" si="4"/>
        <v>#REF!</v>
      </c>
    </row>
    <row r="29" spans="1:24" ht="15.75" x14ac:dyDescent="0.25">
      <c r="A29" s="70" t="s">
        <v>45</v>
      </c>
      <c r="B29" s="71"/>
      <c r="C29" s="71"/>
      <c r="D29" s="71"/>
      <c r="E29" s="71"/>
      <c r="F29" s="20">
        <v>250000</v>
      </c>
      <c r="G29" s="21">
        <f t="shared" si="2"/>
        <v>20833.333333333332</v>
      </c>
      <c r="H29" s="32"/>
      <c r="I29" s="72" t="e">
        <f>'благ-во'!#REF!</f>
        <v>#REF!</v>
      </c>
      <c r="J29" s="72" t="e">
        <f>'благ-во'!#REF!</f>
        <v>#REF!</v>
      </c>
      <c r="K29" s="72" t="e">
        <f>'благ-во'!#REF!</f>
        <v>#REF!</v>
      </c>
      <c r="L29" s="72" t="e">
        <f>'благ-во'!#REF!</f>
        <v>#REF!</v>
      </c>
      <c r="M29" s="72" t="e">
        <f>'благ-во'!#REF!</f>
        <v>#REF!</v>
      </c>
      <c r="N29" s="72">
        <f>'благ-во'!B62</f>
        <v>82340</v>
      </c>
      <c r="O29" s="26"/>
      <c r="P29" s="26"/>
      <c r="Q29" s="26"/>
      <c r="R29" s="26"/>
      <c r="S29" s="27"/>
      <c r="T29" s="27"/>
      <c r="U29" s="28" t="e">
        <f t="shared" si="0"/>
        <v>#REF!</v>
      </c>
      <c r="V29" s="29">
        <f t="shared" si="3"/>
        <v>125000</v>
      </c>
      <c r="W29" s="73" t="e">
        <f t="shared" si="4"/>
        <v>#REF!</v>
      </c>
    </row>
    <row r="30" spans="1:24" ht="15.75" x14ac:dyDescent="0.25">
      <c r="A30" s="70" t="s">
        <v>46</v>
      </c>
      <c r="B30" s="71"/>
      <c r="C30" s="71"/>
      <c r="D30" s="71"/>
      <c r="E30" s="71"/>
      <c r="F30" s="20">
        <v>719200</v>
      </c>
      <c r="G30" s="21">
        <f t="shared" si="2"/>
        <v>59933.333333333336</v>
      </c>
      <c r="H30" s="32"/>
      <c r="I30" s="72" t="e">
        <f>#REF!</f>
        <v>#REF!</v>
      </c>
      <c r="J30" s="72" t="e">
        <f>#REF!</f>
        <v>#REF!</v>
      </c>
      <c r="K30" s="72" t="e">
        <f>#REF!</f>
        <v>#REF!</v>
      </c>
      <c r="L30" s="72" t="e">
        <f>#REF!</f>
        <v>#REF!</v>
      </c>
      <c r="M30" s="72" t="e">
        <f>#REF!</f>
        <v>#REF!</v>
      </c>
      <c r="N30" s="72" t="e">
        <f>#REF!</f>
        <v>#REF!</v>
      </c>
      <c r="O30" s="26"/>
      <c r="P30" s="26"/>
      <c r="Q30" s="26"/>
      <c r="R30" s="26"/>
      <c r="S30" s="27"/>
      <c r="T30" s="27"/>
      <c r="U30" s="28" t="e">
        <f t="shared" si="0"/>
        <v>#REF!</v>
      </c>
      <c r="V30" s="29">
        <f t="shared" si="3"/>
        <v>359600</v>
      </c>
      <c r="W30" s="73" t="e">
        <f t="shared" si="4"/>
        <v>#REF!</v>
      </c>
    </row>
    <row r="31" spans="1:24" ht="15.75" x14ac:dyDescent="0.25">
      <c r="A31" s="78" t="s">
        <v>47</v>
      </c>
      <c r="B31" s="79"/>
      <c r="C31" s="79"/>
      <c r="D31" s="79"/>
      <c r="E31" s="79"/>
      <c r="F31" s="80">
        <v>1473800</v>
      </c>
      <c r="G31" s="81">
        <f t="shared" si="2"/>
        <v>122816.66666666667</v>
      </c>
      <c r="H31" s="41"/>
      <c r="I31" s="82" t="e">
        <f>'рез фонд'!#REF!</f>
        <v>#REF!</v>
      </c>
      <c r="J31" s="82" t="e">
        <f>'рез фонд'!#REF!</f>
        <v>#REF!</v>
      </c>
      <c r="K31" s="82" t="e">
        <f>'рез фонд'!#REF!</f>
        <v>#REF!</v>
      </c>
      <c r="L31" s="82" t="e">
        <f>'рез фонд'!#REF!</f>
        <v>#REF!</v>
      </c>
      <c r="M31" s="82" t="e">
        <f>'рез фонд'!#REF!</f>
        <v>#REF!</v>
      </c>
      <c r="N31" s="82">
        <f>'рез фонд'!B55</f>
        <v>0</v>
      </c>
      <c r="O31" s="50"/>
      <c r="P31" s="50"/>
      <c r="Q31" s="50"/>
      <c r="R31" s="50"/>
      <c r="S31" s="83"/>
      <c r="T31" s="83"/>
      <c r="U31" s="52" t="e">
        <f t="shared" si="0"/>
        <v>#REF!</v>
      </c>
      <c r="V31" s="29">
        <f t="shared" si="3"/>
        <v>736900</v>
      </c>
      <c r="W31" s="84" t="e">
        <f t="shared" si="4"/>
        <v>#REF!</v>
      </c>
      <c r="X31" s="85"/>
    </row>
    <row r="32" spans="1:24" ht="15.75" x14ac:dyDescent="0.25">
      <c r="A32" s="390" t="s">
        <v>48</v>
      </c>
      <c r="B32" s="391"/>
      <c r="C32" s="391"/>
      <c r="D32" s="391"/>
      <c r="E32" s="392"/>
      <c r="F32" s="55">
        <f>SUM(F12:F31)</f>
        <v>30950000</v>
      </c>
      <c r="G32" s="56">
        <f>SUM(G12:G31)</f>
        <v>2579166.6666666665</v>
      </c>
      <c r="H32" s="74"/>
      <c r="I32" s="86" t="e">
        <f>SUM(I12:I31)</f>
        <v>#REF!</v>
      </c>
      <c r="J32" s="86" t="e">
        <f>SUM(J12:J31)</f>
        <v>#REF!</v>
      </c>
      <c r="K32" s="86" t="e">
        <f t="shared" ref="K32:U32" si="5">SUM(K12:K31)</f>
        <v>#REF!</v>
      </c>
      <c r="L32" s="87" t="e">
        <f t="shared" si="5"/>
        <v>#REF!</v>
      </c>
      <c r="M32" s="88" t="e">
        <f t="shared" si="5"/>
        <v>#REF!</v>
      </c>
      <c r="N32" s="88" t="e">
        <f t="shared" si="5"/>
        <v>#REF!</v>
      </c>
      <c r="O32" s="59">
        <f t="shared" si="5"/>
        <v>0</v>
      </c>
      <c r="P32" s="59">
        <f t="shared" si="5"/>
        <v>0</v>
      </c>
      <c r="Q32" s="59">
        <f t="shared" si="5"/>
        <v>0</v>
      </c>
      <c r="R32" s="59">
        <f t="shared" si="5"/>
        <v>0</v>
      </c>
      <c r="S32" s="60">
        <f t="shared" si="5"/>
        <v>0</v>
      </c>
      <c r="T32" s="60">
        <f t="shared" si="5"/>
        <v>0</v>
      </c>
      <c r="U32" s="61" t="e">
        <f t="shared" si="5"/>
        <v>#REF!</v>
      </c>
      <c r="V32" s="29">
        <f>G32*5</f>
        <v>12895833.333333332</v>
      </c>
      <c r="W32" s="89" t="e">
        <f>SUM(W12:W31)</f>
        <v>#REF!</v>
      </c>
    </row>
    <row r="34" spans="1:23" x14ac:dyDescent="0.25">
      <c r="A34" s="393" t="s">
        <v>49</v>
      </c>
      <c r="B34" s="393"/>
      <c r="C34" s="393"/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393"/>
      <c r="T34" s="393"/>
      <c r="U34" s="393"/>
      <c r="V34" s="90"/>
      <c r="W34" s="90"/>
    </row>
    <row r="35" spans="1:23" x14ac:dyDescent="0.25">
      <c r="A35" s="394" t="s">
        <v>50</v>
      </c>
      <c r="B35" s="395"/>
      <c r="C35" s="395"/>
      <c r="D35" s="395"/>
      <c r="E35" s="395"/>
      <c r="F35" s="396"/>
      <c r="G35" s="396"/>
      <c r="H35" s="395"/>
      <c r="I35" s="396"/>
      <c r="J35" s="396"/>
      <c r="K35" s="396"/>
      <c r="L35" s="395"/>
      <c r="M35" s="91"/>
      <c r="N35" s="91"/>
      <c r="O35" s="91"/>
      <c r="P35" s="91"/>
      <c r="Q35" s="91"/>
      <c r="R35" s="91"/>
      <c r="S35" s="91"/>
      <c r="T35" s="91"/>
      <c r="U35" s="92"/>
      <c r="V35" s="90"/>
      <c r="W35" s="90"/>
    </row>
    <row r="36" spans="1:23" x14ac:dyDescent="0.25">
      <c r="A36" s="377" t="s">
        <v>51</v>
      </c>
      <c r="B36" s="378"/>
      <c r="C36" s="378"/>
      <c r="D36" s="378"/>
      <c r="E36" s="378"/>
      <c r="F36" s="378"/>
      <c r="G36" s="378"/>
      <c r="H36" s="378"/>
      <c r="I36" s="378"/>
      <c r="J36" s="378"/>
      <c r="K36" s="378"/>
      <c r="L36" s="378"/>
      <c r="M36" s="378"/>
      <c r="N36" s="378"/>
      <c r="O36" s="378"/>
      <c r="P36" s="378"/>
      <c r="Q36" s="378"/>
      <c r="R36" s="378"/>
      <c r="S36" s="378"/>
      <c r="T36" s="378"/>
      <c r="U36" s="379"/>
      <c r="V36" s="90"/>
      <c r="W36" s="90"/>
    </row>
    <row r="37" spans="1:23" x14ac:dyDescent="0.25">
      <c r="A37" s="93"/>
      <c r="B37" s="93"/>
      <c r="C37" s="93"/>
      <c r="D37" s="93"/>
      <c r="E37" s="93"/>
      <c r="F37" s="90"/>
      <c r="G37" s="90"/>
      <c r="H37" s="93"/>
      <c r="I37" s="90"/>
      <c r="J37" s="90"/>
      <c r="K37" s="90"/>
      <c r="L37" s="93"/>
      <c r="M37" s="93"/>
      <c r="N37" s="93"/>
      <c r="O37" s="93"/>
      <c r="P37" s="93"/>
      <c r="Q37" s="93"/>
      <c r="R37" s="93"/>
      <c r="S37" s="93"/>
      <c r="T37" s="93"/>
      <c r="U37" s="90"/>
      <c r="V37" s="90"/>
      <c r="W37" s="90"/>
    </row>
    <row r="38" spans="1:23" x14ac:dyDescent="0.25">
      <c r="A38" s="380"/>
      <c r="B38" s="381"/>
      <c r="C38" s="381"/>
      <c r="D38" s="381"/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1"/>
      <c r="Q38" s="381"/>
      <c r="R38" s="381"/>
      <c r="S38" s="381"/>
      <c r="T38" s="381"/>
      <c r="U38" s="382"/>
      <c r="V38" s="90"/>
      <c r="W38" s="90"/>
    </row>
    <row r="39" spans="1:23" x14ac:dyDescent="0.25">
      <c r="A39" s="383"/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5"/>
      <c r="V39" s="90"/>
      <c r="W39" s="90"/>
    </row>
    <row r="40" spans="1:23" x14ac:dyDescent="0.25">
      <c r="A40" s="93"/>
      <c r="B40" s="93"/>
      <c r="C40" s="93"/>
      <c r="D40" s="93"/>
      <c r="E40" s="93"/>
      <c r="F40" s="90"/>
      <c r="G40" s="90"/>
      <c r="H40" s="93"/>
      <c r="I40" s="90"/>
      <c r="J40" s="90"/>
      <c r="K40" s="90"/>
      <c r="L40" s="93"/>
      <c r="M40" s="93"/>
      <c r="N40" s="93"/>
      <c r="O40" s="93"/>
      <c r="P40" s="93"/>
      <c r="Q40" s="93"/>
      <c r="R40" s="93"/>
      <c r="S40" s="93"/>
      <c r="T40" s="93"/>
      <c r="U40" s="90"/>
      <c r="V40" s="90"/>
      <c r="W40" s="90"/>
    </row>
    <row r="41" spans="1:23" x14ac:dyDescent="0.25">
      <c r="A41" s="93"/>
      <c r="B41" s="93"/>
      <c r="C41" s="93"/>
      <c r="D41" s="93"/>
      <c r="E41" s="93"/>
      <c r="F41" s="90"/>
      <c r="G41" s="90"/>
      <c r="H41" s="93"/>
      <c r="I41" s="90"/>
      <c r="J41" s="90"/>
      <c r="K41" s="90"/>
      <c r="L41" s="93"/>
      <c r="M41" s="93"/>
      <c r="N41" s="93"/>
      <c r="O41" s="93"/>
      <c r="P41" s="93"/>
      <c r="Q41" s="93"/>
      <c r="R41" s="93"/>
      <c r="S41" s="93"/>
      <c r="T41" s="93"/>
      <c r="U41" s="90"/>
      <c r="V41" s="90"/>
      <c r="W41" s="90"/>
    </row>
    <row r="42" spans="1:23" x14ac:dyDescent="0.25">
      <c r="A42" s="93"/>
      <c r="B42" s="93"/>
      <c r="C42" s="93"/>
      <c r="D42" s="93"/>
      <c r="E42" s="93"/>
      <c r="F42" s="90"/>
      <c r="G42" s="90"/>
      <c r="H42" s="93"/>
      <c r="I42" s="90"/>
      <c r="J42" s="90"/>
      <c r="K42" s="90"/>
      <c r="L42" s="93"/>
      <c r="M42" s="93"/>
      <c r="N42" s="93"/>
      <c r="O42" s="93"/>
      <c r="P42" s="93"/>
      <c r="Q42" s="93"/>
      <c r="R42" s="93"/>
      <c r="S42" s="93"/>
      <c r="T42" s="93"/>
      <c r="U42" s="90"/>
      <c r="V42" s="90"/>
      <c r="W42" s="90"/>
    </row>
    <row r="43" spans="1:23" x14ac:dyDescent="0.25">
      <c r="A43" s="93"/>
      <c r="B43" s="93"/>
      <c r="C43" s="93"/>
      <c r="D43" s="93"/>
      <c r="E43" s="93"/>
      <c r="F43" s="90"/>
      <c r="G43" s="90"/>
      <c r="H43" s="93"/>
      <c r="I43" s="90"/>
      <c r="J43" s="90"/>
      <c r="K43" s="90"/>
      <c r="L43" s="93"/>
      <c r="M43" s="93"/>
      <c r="N43" s="93"/>
      <c r="O43" s="93"/>
      <c r="P43" s="93"/>
      <c r="Q43" s="93"/>
      <c r="R43" s="93"/>
      <c r="S43" s="93"/>
      <c r="T43" s="93"/>
      <c r="U43" s="90"/>
      <c r="V43" s="90"/>
      <c r="W43" s="90"/>
    </row>
    <row r="44" spans="1:23" x14ac:dyDescent="0.25">
      <c r="A44" s="93"/>
      <c r="B44" s="93"/>
      <c r="C44" s="93"/>
      <c r="D44" s="93"/>
      <c r="E44" s="93"/>
      <c r="F44" s="90"/>
      <c r="G44" s="90"/>
      <c r="H44" s="93"/>
      <c r="I44" s="90"/>
      <c r="J44" s="90"/>
      <c r="K44" s="90"/>
      <c r="L44" s="93"/>
      <c r="M44" s="93"/>
      <c r="N44" s="93"/>
      <c r="O44" s="93"/>
      <c r="P44" s="93"/>
      <c r="Q44" s="93"/>
      <c r="R44" s="93"/>
      <c r="S44" s="93"/>
      <c r="T44" s="93"/>
      <c r="U44" s="90"/>
      <c r="V44" s="90"/>
      <c r="W44" s="90"/>
    </row>
    <row r="45" spans="1:23" x14ac:dyDescent="0.25">
      <c r="A45" s="93"/>
      <c r="B45" s="93"/>
      <c r="C45" s="93"/>
      <c r="D45" s="93"/>
      <c r="E45" s="93"/>
      <c r="F45" s="90"/>
      <c r="G45" s="90"/>
      <c r="H45" s="93"/>
      <c r="I45" s="90"/>
      <c r="J45" s="90"/>
      <c r="K45" s="90"/>
      <c r="L45" s="93"/>
      <c r="M45" s="93"/>
      <c r="N45" s="93"/>
      <c r="O45" s="93"/>
      <c r="P45" s="93"/>
      <c r="Q45" s="93"/>
      <c r="R45" s="93"/>
      <c r="S45" s="93"/>
      <c r="T45" s="93"/>
      <c r="U45" s="90"/>
      <c r="V45" s="90"/>
      <c r="W45" s="90"/>
    </row>
    <row r="46" spans="1:23" x14ac:dyDescent="0.25">
      <c r="A46" s="93"/>
      <c r="B46" s="93"/>
      <c r="C46" s="93"/>
      <c r="D46" s="93"/>
      <c r="E46" s="93"/>
      <c r="F46" s="90"/>
      <c r="G46" s="90"/>
      <c r="H46" s="93"/>
      <c r="I46" s="90"/>
      <c r="J46" s="90"/>
      <c r="K46" s="90"/>
      <c r="L46" s="93"/>
      <c r="M46" s="93"/>
      <c r="N46" s="93"/>
      <c r="O46" s="93"/>
      <c r="P46" s="93"/>
      <c r="Q46" s="93"/>
      <c r="R46" s="93"/>
      <c r="S46" s="93"/>
      <c r="T46" s="93"/>
      <c r="U46" s="90"/>
      <c r="V46" s="90"/>
      <c r="W46" s="90"/>
    </row>
    <row r="47" spans="1:23" x14ac:dyDescent="0.25">
      <c r="A47" s="93"/>
      <c r="B47" s="93"/>
      <c r="C47" s="93"/>
      <c r="D47" s="93"/>
      <c r="E47" s="93"/>
      <c r="F47" s="90"/>
      <c r="G47" s="90"/>
      <c r="H47" s="93"/>
      <c r="I47" s="90"/>
      <c r="J47" s="90"/>
      <c r="K47" s="90"/>
      <c r="L47" s="93"/>
      <c r="M47" s="93"/>
      <c r="N47" s="93"/>
      <c r="O47" s="93"/>
      <c r="P47" s="93"/>
      <c r="Q47" s="93"/>
      <c r="R47" s="93"/>
      <c r="S47" s="93"/>
      <c r="T47" s="93"/>
      <c r="U47" s="90"/>
      <c r="V47" s="90"/>
      <c r="W47" s="90"/>
    </row>
    <row r="48" spans="1:23" x14ac:dyDescent="0.25">
      <c r="A48" s="93"/>
      <c r="B48" s="93"/>
      <c r="C48" s="93"/>
      <c r="D48" s="93"/>
      <c r="E48" s="93"/>
      <c r="F48" s="90"/>
      <c r="G48" s="90"/>
      <c r="H48" s="93"/>
      <c r="I48" s="90"/>
      <c r="J48" s="90"/>
      <c r="K48" s="90"/>
      <c r="L48" s="93"/>
      <c r="M48" s="93"/>
      <c r="N48" s="93"/>
      <c r="O48" s="93"/>
      <c r="P48" s="93"/>
      <c r="Q48" s="93"/>
      <c r="R48" s="93"/>
      <c r="S48" s="93"/>
      <c r="T48" s="93"/>
      <c r="U48" s="90"/>
      <c r="V48" s="90"/>
      <c r="W48" s="90"/>
    </row>
    <row r="49" spans="1:23" x14ac:dyDescent="0.25">
      <c r="A49" s="93"/>
      <c r="B49" s="93"/>
      <c r="C49" s="93"/>
      <c r="D49" s="93"/>
      <c r="E49" s="93"/>
      <c r="F49" s="90"/>
      <c r="G49" s="90"/>
      <c r="H49" s="93"/>
      <c r="I49" s="90"/>
      <c r="J49" s="90"/>
      <c r="K49" s="90"/>
      <c r="L49" s="93"/>
      <c r="M49" s="93"/>
      <c r="N49" s="93"/>
      <c r="O49" s="93"/>
      <c r="P49" s="93"/>
      <c r="Q49" s="93"/>
      <c r="R49" s="93"/>
      <c r="S49" s="93"/>
      <c r="T49" s="93"/>
      <c r="U49" s="90"/>
      <c r="V49" s="90"/>
      <c r="W49" s="90"/>
    </row>
    <row r="50" spans="1:23" x14ac:dyDescent="0.25">
      <c r="A50" s="93"/>
      <c r="B50" s="93"/>
      <c r="C50" s="93"/>
      <c r="D50" s="93"/>
      <c r="E50" s="93"/>
      <c r="F50" s="90"/>
      <c r="G50" s="90"/>
      <c r="H50" s="93"/>
      <c r="I50" s="90"/>
      <c r="J50" s="90"/>
      <c r="K50" s="90"/>
      <c r="L50" s="93"/>
      <c r="M50" s="93"/>
      <c r="N50" s="93"/>
      <c r="O50" s="93"/>
      <c r="P50" s="93"/>
      <c r="Q50" s="93"/>
      <c r="R50" s="93"/>
      <c r="S50" s="93"/>
      <c r="T50" s="93"/>
      <c r="U50" s="90"/>
      <c r="V50" s="90"/>
      <c r="W50" s="90"/>
    </row>
    <row r="51" spans="1:23" x14ac:dyDescent="0.25">
      <c r="A51" s="93"/>
      <c r="B51" s="93"/>
      <c r="C51" s="93"/>
      <c r="D51" s="93"/>
      <c r="E51" s="93"/>
      <c r="F51" s="90"/>
      <c r="G51" s="90"/>
      <c r="H51" s="93"/>
      <c r="I51" s="90"/>
      <c r="J51" s="90"/>
      <c r="K51" s="90"/>
      <c r="L51" s="93"/>
      <c r="M51" s="93"/>
      <c r="N51" s="93"/>
      <c r="O51" s="93"/>
      <c r="P51" s="93"/>
      <c r="Q51" s="93"/>
      <c r="R51" s="93"/>
      <c r="S51" s="93"/>
      <c r="T51" s="93"/>
      <c r="U51" s="90"/>
      <c r="V51" s="90"/>
      <c r="W51" s="90"/>
    </row>
    <row r="52" spans="1:23" x14ac:dyDescent="0.25">
      <c r="A52" s="93"/>
      <c r="B52" s="93"/>
      <c r="C52" s="93"/>
      <c r="D52" s="93"/>
      <c r="E52" s="93"/>
      <c r="F52" s="90"/>
      <c r="G52" s="90"/>
      <c r="H52" s="93"/>
      <c r="I52" s="90"/>
      <c r="J52" s="90"/>
      <c r="K52" s="90"/>
      <c r="L52" s="93"/>
      <c r="M52" s="93"/>
      <c r="N52" s="93"/>
      <c r="O52" s="93"/>
      <c r="P52" s="93"/>
      <c r="Q52" s="93"/>
      <c r="R52" s="93"/>
      <c r="S52" s="93"/>
      <c r="T52" s="93"/>
      <c r="U52" s="90"/>
      <c r="V52" s="90"/>
      <c r="W52" s="90"/>
    </row>
    <row r="53" spans="1:23" x14ac:dyDescent="0.25">
      <c r="A53" s="93"/>
      <c r="B53" s="93"/>
      <c r="C53" s="93"/>
      <c r="D53" s="93"/>
      <c r="E53" s="93"/>
      <c r="F53" s="90"/>
      <c r="G53" s="90"/>
      <c r="H53" s="93"/>
      <c r="I53" s="90"/>
      <c r="J53" s="90"/>
      <c r="K53" s="90"/>
      <c r="L53" s="93"/>
      <c r="M53" s="93"/>
      <c r="N53" s="93"/>
      <c r="O53" s="93"/>
      <c r="P53" s="93"/>
      <c r="Q53" s="93"/>
      <c r="R53" s="93"/>
      <c r="S53" s="93"/>
      <c r="T53" s="93"/>
      <c r="U53" s="90"/>
      <c r="V53" s="90"/>
      <c r="W53" s="90"/>
    </row>
    <row r="54" spans="1:23" x14ac:dyDescent="0.25">
      <c r="A54" s="93"/>
      <c r="B54" s="93"/>
      <c r="C54" s="93"/>
      <c r="D54" s="93"/>
      <c r="E54" s="93"/>
      <c r="F54" s="90"/>
      <c r="G54" s="90"/>
      <c r="H54" s="93"/>
      <c r="I54" s="90"/>
      <c r="J54" s="90"/>
      <c r="K54" s="90"/>
      <c r="L54" s="93"/>
      <c r="M54" s="93"/>
      <c r="N54" s="93"/>
      <c r="O54" s="93"/>
      <c r="P54" s="93"/>
      <c r="Q54" s="93"/>
      <c r="R54" s="93"/>
      <c r="S54" s="93"/>
      <c r="T54" s="93"/>
      <c r="U54" s="90"/>
      <c r="V54" s="90"/>
      <c r="W54" s="90"/>
    </row>
    <row r="55" spans="1:23" x14ac:dyDescent="0.25">
      <c r="I55" s="90"/>
    </row>
  </sheetData>
  <mergeCells count="18">
    <mergeCell ref="V3:V4"/>
    <mergeCell ref="W3:W4"/>
    <mergeCell ref="A10:E10"/>
    <mergeCell ref="A11:E11"/>
    <mergeCell ref="A3:E3"/>
    <mergeCell ref="F3:F4"/>
    <mergeCell ref="G3:G4"/>
    <mergeCell ref="I3:I4"/>
    <mergeCell ref="J3:J4"/>
    <mergeCell ref="K3:K4"/>
    <mergeCell ref="A36:U36"/>
    <mergeCell ref="A38:U38"/>
    <mergeCell ref="A39:U39"/>
    <mergeCell ref="L3:L4"/>
    <mergeCell ref="U3:U4"/>
    <mergeCell ref="A32:E32"/>
    <mergeCell ref="A34:U34"/>
    <mergeCell ref="A35:L35"/>
  </mergeCells>
  <phoneticPr fontId="23" type="noConversion"/>
  <pageMargins left="0.70866141732283472" right="0.70866141732283472" top="0" bottom="0" header="0" footer="0"/>
  <pageSetup paperSize="9" scale="91" firstPageNumber="4294967295" orientation="landscape" verticalDpi="1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N12"/>
  <sheetViews>
    <sheetView workbookViewId="0">
      <selection activeCell="C4" sqref="C4"/>
    </sheetView>
  </sheetViews>
  <sheetFormatPr defaultRowHeight="15" x14ac:dyDescent="0.25"/>
  <cols>
    <col min="1" max="1" width="38" bestFit="1" customWidth="1"/>
    <col min="2" max="4" width="12.85546875" bestFit="1" customWidth="1"/>
    <col min="5" max="7" width="10.28515625" bestFit="1" customWidth="1"/>
    <col min="8" max="8" width="12.85546875" bestFit="1" customWidth="1"/>
    <col min="9" max="13" width="12.85546875" customWidth="1"/>
    <col min="14" max="14" width="14.5703125" bestFit="1" customWidth="1"/>
  </cols>
  <sheetData>
    <row r="1" spans="1:14" x14ac:dyDescent="0.25">
      <c r="A1" s="155" t="s">
        <v>36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355"/>
      <c r="J1" s="355"/>
      <c r="K1" s="355"/>
      <c r="L1" s="355"/>
      <c r="M1" s="355"/>
      <c r="N1" s="156"/>
    </row>
    <row r="2" spans="1:14" x14ac:dyDescent="0.25">
      <c r="A2" s="156"/>
      <c r="B2" s="172" t="s">
        <v>9</v>
      </c>
      <c r="C2" s="172" t="s">
        <v>14</v>
      </c>
      <c r="D2" s="172" t="s">
        <v>15</v>
      </c>
      <c r="E2" s="172" t="s">
        <v>16</v>
      </c>
      <c r="F2" s="172" t="s">
        <v>17</v>
      </c>
      <c r="G2" s="172" t="s">
        <v>18</v>
      </c>
      <c r="H2" s="172" t="s">
        <v>19</v>
      </c>
      <c r="I2" s="172" t="s">
        <v>4</v>
      </c>
      <c r="J2" s="172" t="s">
        <v>5</v>
      </c>
      <c r="K2" s="172" t="s">
        <v>6</v>
      </c>
      <c r="L2" s="172" t="s">
        <v>7</v>
      </c>
      <c r="M2" s="172" t="s">
        <v>8</v>
      </c>
      <c r="N2" s="172"/>
    </row>
    <row r="3" spans="1:14" x14ac:dyDescent="0.25">
      <c r="A3" s="152" t="s">
        <v>156</v>
      </c>
      <c r="B3" s="179">
        <v>609000</v>
      </c>
      <c r="C3" s="179">
        <v>382800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>
        <f>SUM(B3:M3)</f>
        <v>991800</v>
      </c>
    </row>
    <row r="4" spans="1:14" x14ac:dyDescent="0.25">
      <c r="A4" s="152" t="s">
        <v>193</v>
      </c>
      <c r="B4" s="179"/>
      <c r="C4" s="179">
        <v>26408.62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>
        <f t="shared" ref="N4:N9" si="0">SUM(B4:M4)</f>
        <v>26408.62</v>
      </c>
    </row>
    <row r="5" spans="1:14" x14ac:dyDescent="0.25">
      <c r="A5" s="152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>
        <f t="shared" si="0"/>
        <v>0</v>
      </c>
    </row>
    <row r="6" spans="1:14" x14ac:dyDescent="0.25">
      <c r="A6" s="152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>
        <f t="shared" si="0"/>
        <v>0</v>
      </c>
    </row>
    <row r="7" spans="1:14" x14ac:dyDescent="0.25">
      <c r="A7" s="152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>
        <f t="shared" si="0"/>
        <v>0</v>
      </c>
    </row>
    <row r="8" spans="1:14" x14ac:dyDescent="0.25">
      <c r="A8" s="152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>
        <f t="shared" si="0"/>
        <v>0</v>
      </c>
    </row>
    <row r="9" spans="1:14" x14ac:dyDescent="0.25">
      <c r="A9" s="15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>
        <f t="shared" si="0"/>
        <v>0</v>
      </c>
    </row>
    <row r="10" spans="1:14" x14ac:dyDescent="0.25">
      <c r="A10" s="155" t="s">
        <v>90</v>
      </c>
      <c r="B10" s="166">
        <f t="shared" ref="B10:M10" si="1">SUM(B3:B9)</f>
        <v>609000</v>
      </c>
      <c r="C10" s="166">
        <f t="shared" si="1"/>
        <v>409208.62</v>
      </c>
      <c r="D10" s="166">
        <f t="shared" si="1"/>
        <v>0</v>
      </c>
      <c r="E10" s="166">
        <f t="shared" si="1"/>
        <v>0</v>
      </c>
      <c r="F10" s="166">
        <f t="shared" si="1"/>
        <v>0</v>
      </c>
      <c r="G10" s="166">
        <f t="shared" si="1"/>
        <v>0</v>
      </c>
      <c r="H10" s="166">
        <f t="shared" si="1"/>
        <v>0</v>
      </c>
      <c r="I10" s="166">
        <f t="shared" si="1"/>
        <v>0</v>
      </c>
      <c r="J10" s="166">
        <f t="shared" si="1"/>
        <v>0</v>
      </c>
      <c r="K10" s="166">
        <f t="shared" si="1"/>
        <v>0</v>
      </c>
      <c r="L10" s="166">
        <f t="shared" si="1"/>
        <v>0</v>
      </c>
      <c r="M10" s="166">
        <f t="shared" si="1"/>
        <v>0</v>
      </c>
      <c r="N10" s="166">
        <f>SUM(N3:N9)</f>
        <v>1018208.62</v>
      </c>
    </row>
    <row r="12" spans="1:14" x14ac:dyDescent="0.25">
      <c r="N12" s="160">
        <f>SUM(B10:M10)-N10</f>
        <v>0</v>
      </c>
    </row>
  </sheetData>
  <phoneticPr fontId="23" type="noConversion"/>
  <pageMargins left="0.25" right="0.25" top="0.75" bottom="0.75" header="0.3" footer="0.3"/>
  <pageSetup paperSize="9" scale="74" firstPageNumber="42949672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34"/>
  <sheetViews>
    <sheetView workbookViewId="0">
      <selection activeCell="A9" sqref="A9"/>
    </sheetView>
  </sheetViews>
  <sheetFormatPr defaultRowHeight="15" x14ac:dyDescent="0.25"/>
  <cols>
    <col min="1" max="1" width="35.140625" bestFit="1" customWidth="1"/>
    <col min="3" max="3" width="10.28515625" bestFit="1" customWidth="1"/>
    <col min="13" max="13" width="10.28515625" bestFit="1" customWidth="1"/>
    <col min="14" max="14" width="12.85546875" bestFit="1" customWidth="1"/>
  </cols>
  <sheetData>
    <row r="1" spans="1:14" x14ac:dyDescent="0.25">
      <c r="A1" s="155" t="s">
        <v>39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2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90</v>
      </c>
    </row>
    <row r="3" spans="1:14" x14ac:dyDescent="0.25">
      <c r="A3" s="305"/>
      <c r="B3" s="304"/>
      <c r="C3" s="185"/>
      <c r="D3" s="304"/>
      <c r="E3" s="190"/>
      <c r="F3" s="190"/>
      <c r="G3" s="304"/>
      <c r="H3" s="190"/>
      <c r="I3" s="190"/>
      <c r="J3" s="357"/>
      <c r="K3" s="185"/>
      <c r="L3" s="185"/>
      <c r="M3" s="357"/>
      <c r="N3" s="179">
        <f t="shared" ref="N3:N31" si="0">SUM(B3:M3)</f>
        <v>0</v>
      </c>
    </row>
    <row r="4" spans="1:14" x14ac:dyDescent="0.25">
      <c r="A4" s="152" t="s">
        <v>149</v>
      </c>
      <c r="B4" s="190">
        <v>26788.799999999999</v>
      </c>
      <c r="C4" s="185"/>
      <c r="D4" s="190"/>
      <c r="E4" s="190"/>
      <c r="F4" s="190"/>
      <c r="G4" s="190"/>
      <c r="H4" s="190"/>
      <c r="I4" s="190"/>
      <c r="J4" s="185"/>
      <c r="K4" s="185"/>
      <c r="L4" s="185"/>
      <c r="M4" s="185"/>
      <c r="N4" s="179">
        <f t="shared" si="0"/>
        <v>26788.799999999999</v>
      </c>
    </row>
    <row r="5" spans="1:14" x14ac:dyDescent="0.25">
      <c r="A5" s="152" t="s">
        <v>110</v>
      </c>
      <c r="B5" s="190">
        <v>5976</v>
      </c>
      <c r="C5" s="185">
        <v>9096</v>
      </c>
      <c r="D5" s="190"/>
      <c r="E5" s="190"/>
      <c r="F5" s="190"/>
      <c r="G5" s="190"/>
      <c r="H5" s="190"/>
      <c r="I5" s="190"/>
      <c r="J5" s="185"/>
      <c r="K5" s="185"/>
      <c r="L5" s="185"/>
      <c r="M5" s="185"/>
      <c r="N5" s="179">
        <f t="shared" si="0"/>
        <v>15072</v>
      </c>
    </row>
    <row r="6" spans="1:14" x14ac:dyDescent="0.25">
      <c r="A6" s="177" t="s">
        <v>205</v>
      </c>
      <c r="B6" s="179"/>
      <c r="C6" s="179">
        <v>1234</v>
      </c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>
        <f t="shared" si="0"/>
        <v>1234</v>
      </c>
    </row>
    <row r="7" spans="1:14" x14ac:dyDescent="0.25">
      <c r="A7" s="175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>
        <f t="shared" si="0"/>
        <v>0</v>
      </c>
    </row>
    <row r="8" spans="1:14" ht="15" customHeight="1" x14ac:dyDescent="0.25">
      <c r="A8" s="152"/>
      <c r="B8" s="180"/>
      <c r="C8" s="179"/>
      <c r="D8" s="180"/>
      <c r="E8" s="180"/>
      <c r="F8" s="180"/>
      <c r="G8" s="180"/>
      <c r="H8" s="180"/>
      <c r="I8" s="180"/>
      <c r="J8" s="179"/>
      <c r="K8" s="179"/>
      <c r="L8" s="179"/>
      <c r="M8" s="179"/>
      <c r="N8" s="179">
        <f t="shared" si="0"/>
        <v>0</v>
      </c>
    </row>
    <row r="9" spans="1:14" ht="15" customHeight="1" x14ac:dyDescent="0.25">
      <c r="A9" s="174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>
        <f t="shared" si="0"/>
        <v>0</v>
      </c>
    </row>
    <row r="10" spans="1:14" ht="15" customHeight="1" x14ac:dyDescent="0.25">
      <c r="A10" s="174"/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>
        <f t="shared" si="0"/>
        <v>0</v>
      </c>
    </row>
    <row r="11" spans="1:14" ht="15" customHeight="1" x14ac:dyDescent="0.25">
      <c r="A11" s="174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>
        <f t="shared" si="0"/>
        <v>0</v>
      </c>
    </row>
    <row r="12" spans="1:14" ht="15" customHeight="1" x14ac:dyDescent="0.25">
      <c r="A12" s="161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>
        <f t="shared" si="0"/>
        <v>0</v>
      </c>
    </row>
    <row r="13" spans="1:14" ht="15" customHeight="1" x14ac:dyDescent="0.25">
      <c r="A13" s="161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>
        <f t="shared" si="0"/>
        <v>0</v>
      </c>
    </row>
    <row r="14" spans="1:14" ht="15" customHeight="1" x14ac:dyDescent="0.25">
      <c r="A14" s="165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>
        <f t="shared" si="0"/>
        <v>0</v>
      </c>
    </row>
    <row r="15" spans="1:14" ht="15" customHeight="1" x14ac:dyDescent="0.25">
      <c r="A15" s="152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>
        <f t="shared" si="0"/>
        <v>0</v>
      </c>
    </row>
    <row r="16" spans="1:14" ht="15" customHeight="1" x14ac:dyDescent="0.25">
      <c r="A16" s="152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>
        <f t="shared" si="0"/>
        <v>0</v>
      </c>
    </row>
    <row r="17" spans="1:14" ht="15" customHeight="1" x14ac:dyDescent="0.25">
      <c r="A17" s="152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>
        <f t="shared" si="0"/>
        <v>0</v>
      </c>
    </row>
    <row r="18" spans="1:14" ht="15" customHeight="1" x14ac:dyDescent="0.25">
      <c r="A18" s="152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>
        <f t="shared" si="0"/>
        <v>0</v>
      </c>
    </row>
    <row r="19" spans="1:14" ht="15" customHeight="1" x14ac:dyDescent="0.25">
      <c r="A19" s="152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>
        <f t="shared" si="0"/>
        <v>0</v>
      </c>
    </row>
    <row r="20" spans="1:14" ht="15" customHeight="1" x14ac:dyDescent="0.25">
      <c r="A20" s="152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>
        <f t="shared" si="0"/>
        <v>0</v>
      </c>
    </row>
    <row r="21" spans="1:14" ht="15" customHeight="1" x14ac:dyDescent="0.25">
      <c r="A21" s="152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>
        <f t="shared" si="0"/>
        <v>0</v>
      </c>
    </row>
    <row r="22" spans="1:14" ht="15" customHeight="1" x14ac:dyDescent="0.25">
      <c r="A22" s="152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>
        <f t="shared" si="0"/>
        <v>0</v>
      </c>
    </row>
    <row r="23" spans="1:14" ht="15" customHeight="1" x14ac:dyDescent="0.25">
      <c r="A23" s="152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>
        <f t="shared" si="0"/>
        <v>0</v>
      </c>
    </row>
    <row r="24" spans="1:14" ht="15" customHeight="1" x14ac:dyDescent="0.25">
      <c r="A24" s="152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>
        <f t="shared" si="0"/>
        <v>0</v>
      </c>
    </row>
    <row r="25" spans="1:14" ht="15" customHeight="1" x14ac:dyDescent="0.25">
      <c r="A25" s="152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>
        <f t="shared" si="0"/>
        <v>0</v>
      </c>
    </row>
    <row r="26" spans="1:14" ht="15" customHeight="1" x14ac:dyDescent="0.25">
      <c r="A26" s="176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>
        <f t="shared" si="0"/>
        <v>0</v>
      </c>
    </row>
    <row r="27" spans="1:14" ht="15" customHeight="1" x14ac:dyDescent="0.25">
      <c r="A27" s="152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>
        <f t="shared" si="0"/>
        <v>0</v>
      </c>
    </row>
    <row r="28" spans="1:14" ht="15" customHeight="1" x14ac:dyDescent="0.25">
      <c r="A28" s="152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>
        <f t="shared" si="0"/>
        <v>0</v>
      </c>
    </row>
    <row r="29" spans="1:14" ht="15" customHeight="1" x14ac:dyDescent="0.25">
      <c r="A29" s="152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>
        <f t="shared" ref="N29" si="1">SUM(B29:M29)</f>
        <v>0</v>
      </c>
    </row>
    <row r="30" spans="1:14" ht="15" customHeight="1" x14ac:dyDescent="0.25">
      <c r="A30" s="152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>
        <f t="shared" si="0"/>
        <v>0</v>
      </c>
    </row>
    <row r="31" spans="1:14" ht="15" customHeight="1" x14ac:dyDescent="0.25">
      <c r="A31" s="152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>
        <f t="shared" si="0"/>
        <v>0</v>
      </c>
    </row>
    <row r="32" spans="1:14" ht="15" customHeight="1" x14ac:dyDescent="0.25">
      <c r="A32" s="155" t="s">
        <v>90</v>
      </c>
      <c r="B32" s="153">
        <f t="shared" ref="B32:M32" si="2">SUM(B3:B31)</f>
        <v>32764.799999999999</v>
      </c>
      <c r="C32" s="153">
        <f t="shared" si="2"/>
        <v>10330</v>
      </c>
      <c r="D32" s="153">
        <f t="shared" si="2"/>
        <v>0</v>
      </c>
      <c r="E32" s="153">
        <f t="shared" si="2"/>
        <v>0</v>
      </c>
      <c r="F32" s="153">
        <f t="shared" si="2"/>
        <v>0</v>
      </c>
      <c r="G32" s="153">
        <f t="shared" si="2"/>
        <v>0</v>
      </c>
      <c r="H32" s="153">
        <f t="shared" si="2"/>
        <v>0</v>
      </c>
      <c r="I32" s="153">
        <f t="shared" si="2"/>
        <v>0</v>
      </c>
      <c r="J32" s="153">
        <f t="shared" si="2"/>
        <v>0</v>
      </c>
      <c r="K32" s="153">
        <f t="shared" si="2"/>
        <v>0</v>
      </c>
      <c r="L32" s="153">
        <f t="shared" si="2"/>
        <v>0</v>
      </c>
      <c r="M32" s="153">
        <f t="shared" si="2"/>
        <v>0</v>
      </c>
      <c r="N32" s="153">
        <f>SUM(N3:N31)</f>
        <v>43094.8</v>
      </c>
    </row>
    <row r="33" spans="14:14" ht="15" customHeight="1" x14ac:dyDescent="0.25"/>
    <row r="34" spans="14:14" x14ac:dyDescent="0.25">
      <c r="N34" s="160">
        <f>SUM(B32:M32)-N32</f>
        <v>0</v>
      </c>
    </row>
  </sheetData>
  <phoneticPr fontId="23" type="noConversion"/>
  <pageMargins left="0.25" right="0.25" top="0.75" bottom="0.75" header="0.3" footer="0.3"/>
  <pageSetup paperSize="9" scale="85" firstPageNumber="42949672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N66"/>
  <sheetViews>
    <sheetView topLeftCell="A4" workbookViewId="0">
      <selection activeCell="A14" sqref="A14"/>
    </sheetView>
  </sheetViews>
  <sheetFormatPr defaultRowHeight="14.25" x14ac:dyDescent="0.2"/>
  <cols>
    <col min="1" max="1" width="38.7109375" style="333" bestFit="1" customWidth="1"/>
    <col min="2" max="2" width="11.7109375" style="341" bestFit="1" customWidth="1"/>
    <col min="3" max="3" width="10.42578125" style="333" bestFit="1" customWidth="1"/>
    <col min="4" max="4" width="10.28515625" style="333" bestFit="1" customWidth="1"/>
    <col min="5" max="5" width="10.42578125" style="333" bestFit="1" customWidth="1"/>
    <col min="6" max="6" width="10.28515625" style="333" bestFit="1" customWidth="1"/>
    <col min="7" max="7" width="9" style="333" customWidth="1"/>
    <col min="8" max="8" width="10.42578125" style="333" bestFit="1" customWidth="1"/>
    <col min="9" max="9" width="11.5703125" style="333" bestFit="1" customWidth="1"/>
    <col min="10" max="11" width="10.42578125" style="333" bestFit="1" customWidth="1"/>
    <col min="12" max="13" width="9.28515625" style="333" bestFit="1" customWidth="1"/>
    <col min="14" max="14" width="12" style="333" bestFit="1" customWidth="1"/>
    <col min="15" max="16384" width="9.140625" style="333"/>
  </cols>
  <sheetData>
    <row r="1" spans="1:14" x14ac:dyDescent="0.2">
      <c r="A1" s="329" t="s">
        <v>104</v>
      </c>
      <c r="B1" s="330" t="str">
        <f>'ВСЕ затраты'!B1</f>
        <v>2024-2025гг.</v>
      </c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2"/>
    </row>
    <row r="2" spans="1:14" x14ac:dyDescent="0.2">
      <c r="A2" s="332"/>
      <c r="B2" s="334" t="s">
        <v>9</v>
      </c>
      <c r="C2" s="335" t="s">
        <v>14</v>
      </c>
      <c r="D2" s="334" t="s">
        <v>15</v>
      </c>
      <c r="E2" s="335" t="s">
        <v>16</v>
      </c>
      <c r="F2" s="334" t="s">
        <v>17</v>
      </c>
      <c r="G2" s="335" t="s">
        <v>18</v>
      </c>
      <c r="H2" s="334" t="s">
        <v>19</v>
      </c>
      <c r="I2" s="335" t="s">
        <v>4</v>
      </c>
      <c r="J2" s="334" t="s">
        <v>5</v>
      </c>
      <c r="K2" s="335" t="s">
        <v>6</v>
      </c>
      <c r="L2" s="334" t="s">
        <v>7</v>
      </c>
      <c r="M2" s="335" t="s">
        <v>8</v>
      </c>
      <c r="N2" s="335" t="s">
        <v>90</v>
      </c>
    </row>
    <row r="3" spans="1:14" x14ac:dyDescent="0.2">
      <c r="A3" s="339" t="s">
        <v>157</v>
      </c>
      <c r="B3" s="338">
        <v>28300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>
        <f>SUM(B3:M3)</f>
        <v>28300</v>
      </c>
    </row>
    <row r="4" spans="1:14" x14ac:dyDescent="0.2">
      <c r="A4" s="336" t="s">
        <v>150</v>
      </c>
      <c r="B4" s="337">
        <f>51149.04+43683.12+57882.6</f>
        <v>152714.76</v>
      </c>
      <c r="C4" s="343"/>
      <c r="D4" s="337"/>
      <c r="E4" s="337"/>
      <c r="F4" s="337"/>
      <c r="G4" s="337"/>
      <c r="H4" s="337"/>
      <c r="I4" s="337"/>
      <c r="J4" s="337"/>
      <c r="K4" s="337"/>
      <c r="L4" s="337"/>
      <c r="M4" s="338"/>
      <c r="N4" s="338">
        <f t="shared" ref="N4:N63" si="0">SUM(B4:M4)</f>
        <v>152714.76</v>
      </c>
    </row>
    <row r="5" spans="1:14" x14ac:dyDescent="0.2">
      <c r="A5" s="339" t="s">
        <v>130</v>
      </c>
      <c r="B5" s="338">
        <f>16000+16000+16000</f>
        <v>48000</v>
      </c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>
        <f t="shared" si="0"/>
        <v>48000</v>
      </c>
    </row>
    <row r="6" spans="1:14" x14ac:dyDescent="0.2">
      <c r="A6" s="339" t="s">
        <v>158</v>
      </c>
      <c r="B6" s="338">
        <v>110432</v>
      </c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>
        <f t="shared" si="0"/>
        <v>110432</v>
      </c>
    </row>
    <row r="7" spans="1:14" x14ac:dyDescent="0.2">
      <c r="A7" s="339" t="s">
        <v>161</v>
      </c>
      <c r="B7" s="338">
        <v>15000</v>
      </c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>
        <f t="shared" si="0"/>
        <v>15000</v>
      </c>
    </row>
    <row r="8" spans="1:14" x14ac:dyDescent="0.2">
      <c r="A8" s="339" t="s">
        <v>170</v>
      </c>
      <c r="B8" s="338">
        <v>3300</v>
      </c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>
        <f t="shared" si="0"/>
        <v>3300</v>
      </c>
    </row>
    <row r="9" spans="1:14" x14ac:dyDescent="0.2">
      <c r="A9" s="339" t="s">
        <v>178</v>
      </c>
      <c r="B9" s="338">
        <f>1990+750+600</f>
        <v>3340</v>
      </c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338">
        <f t="shared" si="0"/>
        <v>3340</v>
      </c>
    </row>
    <row r="10" spans="1:14" x14ac:dyDescent="0.2">
      <c r="A10" s="339" t="s">
        <v>179</v>
      </c>
      <c r="B10" s="338">
        <v>1200</v>
      </c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>
        <f t="shared" si="0"/>
        <v>1200</v>
      </c>
    </row>
    <row r="11" spans="1:14" x14ac:dyDescent="0.2">
      <c r="A11" s="339" t="s">
        <v>180</v>
      </c>
      <c r="B11" s="338">
        <v>640</v>
      </c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>
        <f t="shared" si="0"/>
        <v>640</v>
      </c>
    </row>
    <row r="12" spans="1:14" x14ac:dyDescent="0.2">
      <c r="A12" s="416" t="s">
        <v>186</v>
      </c>
      <c r="B12" s="338"/>
      <c r="C12" s="415">
        <v>-76357.38</v>
      </c>
      <c r="D12" s="338"/>
      <c r="E12" s="338"/>
      <c r="F12" s="338"/>
      <c r="G12" s="338"/>
      <c r="H12" s="338"/>
      <c r="I12" s="338"/>
      <c r="J12" s="338"/>
      <c r="K12" s="338"/>
      <c r="L12" s="338"/>
      <c r="M12" s="338"/>
      <c r="N12" s="338">
        <f t="shared" si="0"/>
        <v>-76357.38</v>
      </c>
    </row>
    <row r="13" spans="1:14" x14ac:dyDescent="0.2">
      <c r="A13" s="339" t="s">
        <v>189</v>
      </c>
      <c r="B13" s="338"/>
      <c r="C13" s="338">
        <v>4000</v>
      </c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>
        <f t="shared" si="0"/>
        <v>4000</v>
      </c>
    </row>
    <row r="14" spans="1:14" x14ac:dyDescent="0.2">
      <c r="A14" s="339" t="s">
        <v>211</v>
      </c>
      <c r="B14" s="338"/>
      <c r="C14" s="338">
        <v>780</v>
      </c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>
        <f t="shared" si="0"/>
        <v>780</v>
      </c>
    </row>
    <row r="15" spans="1:14" x14ac:dyDescent="0.2">
      <c r="A15" s="339"/>
      <c r="B15" s="338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>
        <f t="shared" si="0"/>
        <v>0</v>
      </c>
    </row>
    <row r="16" spans="1:14" x14ac:dyDescent="0.2">
      <c r="A16" s="339"/>
      <c r="B16" s="338"/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>
        <f t="shared" si="0"/>
        <v>0</v>
      </c>
    </row>
    <row r="17" spans="1:14" x14ac:dyDescent="0.2">
      <c r="A17" s="339"/>
      <c r="B17" s="338"/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>
        <f t="shared" si="0"/>
        <v>0</v>
      </c>
    </row>
    <row r="18" spans="1:14" x14ac:dyDescent="0.2">
      <c r="A18" s="339"/>
      <c r="B18" s="338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>
        <f t="shared" si="0"/>
        <v>0</v>
      </c>
    </row>
    <row r="19" spans="1:14" x14ac:dyDescent="0.2">
      <c r="A19" s="339"/>
      <c r="B19" s="338"/>
      <c r="C19" s="338"/>
      <c r="D19" s="338"/>
      <c r="E19" s="338"/>
      <c r="F19" s="338"/>
      <c r="G19" s="338"/>
      <c r="H19" s="338"/>
      <c r="I19" s="338"/>
      <c r="J19" s="338"/>
      <c r="K19" s="338"/>
      <c r="L19" s="338"/>
      <c r="M19" s="338"/>
      <c r="N19" s="338">
        <f t="shared" si="0"/>
        <v>0</v>
      </c>
    </row>
    <row r="20" spans="1:14" x14ac:dyDescent="0.2">
      <c r="A20" s="339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>
        <f t="shared" si="0"/>
        <v>0</v>
      </c>
    </row>
    <row r="21" spans="1:14" x14ac:dyDescent="0.2">
      <c r="A21" s="339"/>
      <c r="B21" s="338"/>
      <c r="C21" s="338"/>
      <c r="D21" s="338"/>
      <c r="E21" s="338"/>
      <c r="F21" s="338"/>
      <c r="G21" s="338"/>
      <c r="H21" s="338"/>
      <c r="I21" s="338"/>
      <c r="J21" s="338"/>
      <c r="K21" s="338"/>
      <c r="L21" s="338"/>
      <c r="M21" s="338"/>
      <c r="N21" s="338">
        <f t="shared" si="0"/>
        <v>0</v>
      </c>
    </row>
    <row r="22" spans="1:14" x14ac:dyDescent="0.2">
      <c r="A22" s="339"/>
      <c r="B22" s="338"/>
      <c r="C22" s="338"/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338">
        <f t="shared" si="0"/>
        <v>0</v>
      </c>
    </row>
    <row r="23" spans="1:14" x14ac:dyDescent="0.2">
      <c r="A23" s="339"/>
      <c r="B23" s="338"/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8"/>
      <c r="N23" s="338">
        <f t="shared" si="0"/>
        <v>0</v>
      </c>
    </row>
    <row r="24" spans="1:14" x14ac:dyDescent="0.2">
      <c r="A24" s="339"/>
      <c r="B24" s="338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38">
        <f t="shared" si="0"/>
        <v>0</v>
      </c>
    </row>
    <row r="25" spans="1:14" x14ac:dyDescent="0.2">
      <c r="A25" s="339"/>
      <c r="B25" s="338"/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>
        <f t="shared" si="0"/>
        <v>0</v>
      </c>
    </row>
    <row r="26" spans="1:14" x14ac:dyDescent="0.2">
      <c r="A26" s="339"/>
      <c r="B26" s="338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>
        <f t="shared" si="0"/>
        <v>0</v>
      </c>
    </row>
    <row r="27" spans="1:14" x14ac:dyDescent="0.2">
      <c r="A27" s="339"/>
      <c r="B27" s="338"/>
      <c r="C27" s="338"/>
      <c r="D27" s="338"/>
      <c r="E27" s="338"/>
      <c r="F27" s="338"/>
      <c r="G27" s="338"/>
      <c r="H27" s="338"/>
      <c r="I27" s="338"/>
      <c r="J27" s="338"/>
      <c r="K27" s="338"/>
      <c r="L27" s="338"/>
      <c r="M27" s="338"/>
      <c r="N27" s="338">
        <f t="shared" si="0"/>
        <v>0</v>
      </c>
    </row>
    <row r="28" spans="1:14" x14ac:dyDescent="0.2">
      <c r="A28" s="339"/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>
        <f t="shared" si="0"/>
        <v>0</v>
      </c>
    </row>
    <row r="29" spans="1:14" x14ac:dyDescent="0.2">
      <c r="A29" s="339"/>
      <c r="B29" s="338"/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>
        <f t="shared" si="0"/>
        <v>0</v>
      </c>
    </row>
    <row r="30" spans="1:14" x14ac:dyDescent="0.2">
      <c r="A30" s="339"/>
      <c r="B30" s="338"/>
      <c r="C30" s="338"/>
      <c r="D30" s="338"/>
      <c r="E30" s="338"/>
      <c r="F30" s="338"/>
      <c r="G30" s="338"/>
      <c r="H30" s="338"/>
      <c r="I30" s="338"/>
      <c r="J30" s="338"/>
      <c r="K30" s="338"/>
      <c r="L30" s="338"/>
      <c r="M30" s="338"/>
      <c r="N30" s="338">
        <f t="shared" si="0"/>
        <v>0</v>
      </c>
    </row>
    <row r="31" spans="1:14" x14ac:dyDescent="0.2">
      <c r="A31" s="339"/>
      <c r="B31" s="338"/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>
        <f t="shared" si="0"/>
        <v>0</v>
      </c>
    </row>
    <row r="32" spans="1:14" x14ac:dyDescent="0.2">
      <c r="A32" s="339"/>
      <c r="B32" s="338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38"/>
      <c r="N32" s="338">
        <f t="shared" si="0"/>
        <v>0</v>
      </c>
    </row>
    <row r="33" spans="1:14" x14ac:dyDescent="0.2">
      <c r="A33" s="339"/>
      <c r="B33" s="338"/>
      <c r="C33" s="338"/>
      <c r="D33" s="338"/>
      <c r="E33" s="338"/>
      <c r="F33" s="338"/>
      <c r="G33" s="338"/>
      <c r="H33" s="338"/>
      <c r="I33" s="338"/>
      <c r="J33" s="338"/>
      <c r="K33" s="338"/>
      <c r="L33" s="338"/>
      <c r="M33" s="338"/>
      <c r="N33" s="338">
        <f t="shared" si="0"/>
        <v>0</v>
      </c>
    </row>
    <row r="34" spans="1:14" x14ac:dyDescent="0.2">
      <c r="A34" s="339"/>
      <c r="B34" s="338"/>
      <c r="C34" s="338"/>
      <c r="D34" s="338"/>
      <c r="E34" s="338"/>
      <c r="F34" s="338"/>
      <c r="G34" s="338"/>
      <c r="H34" s="338"/>
      <c r="I34" s="338"/>
      <c r="J34" s="338"/>
      <c r="K34" s="338"/>
      <c r="L34" s="338"/>
      <c r="M34" s="338"/>
      <c r="N34" s="338">
        <f t="shared" si="0"/>
        <v>0</v>
      </c>
    </row>
    <row r="35" spans="1:14" x14ac:dyDescent="0.2">
      <c r="A35" s="339"/>
      <c r="B35" s="338"/>
      <c r="C35" s="338"/>
      <c r="D35" s="338"/>
      <c r="E35" s="338"/>
      <c r="F35" s="338"/>
      <c r="G35" s="338"/>
      <c r="H35" s="338"/>
      <c r="I35" s="338"/>
      <c r="J35" s="338"/>
      <c r="K35" s="338"/>
      <c r="L35" s="338"/>
      <c r="M35" s="338"/>
      <c r="N35" s="338">
        <f t="shared" si="0"/>
        <v>0</v>
      </c>
    </row>
    <row r="36" spans="1:14" x14ac:dyDescent="0.2">
      <c r="A36" s="339"/>
      <c r="B36" s="338"/>
      <c r="C36" s="338"/>
      <c r="D36" s="338"/>
      <c r="E36" s="338"/>
      <c r="F36" s="338"/>
      <c r="G36" s="338"/>
      <c r="H36" s="338"/>
      <c r="I36" s="338"/>
      <c r="J36" s="338"/>
      <c r="K36" s="338"/>
      <c r="L36" s="338"/>
      <c r="M36" s="338"/>
      <c r="N36" s="338">
        <f t="shared" si="0"/>
        <v>0</v>
      </c>
    </row>
    <row r="37" spans="1:14" x14ac:dyDescent="0.2">
      <c r="A37" s="339"/>
      <c r="B37" s="338"/>
      <c r="C37" s="338"/>
      <c r="D37" s="338"/>
      <c r="E37" s="338"/>
      <c r="F37" s="338"/>
      <c r="G37" s="338"/>
      <c r="H37" s="338"/>
      <c r="I37" s="338"/>
      <c r="J37" s="338"/>
      <c r="K37" s="338"/>
      <c r="L37" s="338"/>
      <c r="M37" s="338"/>
      <c r="N37" s="338">
        <f t="shared" si="0"/>
        <v>0</v>
      </c>
    </row>
    <row r="38" spans="1:14" x14ac:dyDescent="0.2">
      <c r="A38" s="339"/>
      <c r="B38" s="338"/>
      <c r="C38" s="338"/>
      <c r="D38" s="338"/>
      <c r="E38" s="338"/>
      <c r="F38" s="338"/>
      <c r="G38" s="338"/>
      <c r="H38" s="338"/>
      <c r="I38" s="338"/>
      <c r="J38" s="338"/>
      <c r="K38" s="338"/>
      <c r="L38" s="338"/>
      <c r="M38" s="338"/>
      <c r="N38" s="338">
        <f t="shared" si="0"/>
        <v>0</v>
      </c>
    </row>
    <row r="39" spans="1:14" x14ac:dyDescent="0.2">
      <c r="A39" s="339"/>
      <c r="B39" s="338"/>
      <c r="C39" s="338"/>
      <c r="D39" s="338"/>
      <c r="E39" s="338"/>
      <c r="F39" s="338"/>
      <c r="G39" s="338"/>
      <c r="H39" s="338"/>
      <c r="I39" s="338"/>
      <c r="J39" s="338"/>
      <c r="K39" s="338"/>
      <c r="L39" s="338"/>
      <c r="M39" s="338"/>
      <c r="N39" s="338">
        <f t="shared" si="0"/>
        <v>0</v>
      </c>
    </row>
    <row r="40" spans="1:14" x14ac:dyDescent="0.2">
      <c r="A40" s="339"/>
      <c r="B40" s="338"/>
      <c r="C40" s="338"/>
      <c r="D40" s="338"/>
      <c r="E40" s="338"/>
      <c r="F40" s="338"/>
      <c r="G40" s="338"/>
      <c r="H40" s="338"/>
      <c r="I40" s="338"/>
      <c r="J40" s="338"/>
      <c r="K40" s="338"/>
      <c r="L40" s="338"/>
      <c r="M40" s="338"/>
      <c r="N40" s="338">
        <f t="shared" si="0"/>
        <v>0</v>
      </c>
    </row>
    <row r="41" spans="1:14" x14ac:dyDescent="0.2">
      <c r="A41" s="339"/>
      <c r="B41" s="338"/>
      <c r="C41" s="338"/>
      <c r="D41" s="338"/>
      <c r="E41" s="338"/>
      <c r="F41" s="338"/>
      <c r="G41" s="338"/>
      <c r="H41" s="338"/>
      <c r="I41" s="338"/>
      <c r="J41" s="338"/>
      <c r="K41" s="338"/>
      <c r="L41" s="338"/>
      <c r="M41" s="338"/>
      <c r="N41" s="338">
        <f t="shared" si="0"/>
        <v>0</v>
      </c>
    </row>
    <row r="42" spans="1:14" x14ac:dyDescent="0.2">
      <c r="A42" s="339"/>
      <c r="B42" s="338"/>
      <c r="C42" s="338"/>
      <c r="D42" s="338"/>
      <c r="E42" s="338"/>
      <c r="F42" s="338"/>
      <c r="G42" s="338"/>
      <c r="H42" s="338"/>
      <c r="I42" s="338"/>
      <c r="J42" s="338"/>
      <c r="K42" s="338"/>
      <c r="L42" s="338"/>
      <c r="M42" s="338"/>
      <c r="N42" s="338">
        <f t="shared" si="0"/>
        <v>0</v>
      </c>
    </row>
    <row r="43" spans="1:14" x14ac:dyDescent="0.2">
      <c r="A43" s="339"/>
      <c r="B43" s="338"/>
      <c r="C43" s="338"/>
      <c r="D43" s="338"/>
      <c r="E43" s="338"/>
      <c r="F43" s="338"/>
      <c r="G43" s="338"/>
      <c r="H43" s="338"/>
      <c r="I43" s="338"/>
      <c r="J43" s="338"/>
      <c r="K43" s="338"/>
      <c r="L43" s="338"/>
      <c r="M43" s="338"/>
      <c r="N43" s="338">
        <f t="shared" si="0"/>
        <v>0</v>
      </c>
    </row>
    <row r="44" spans="1:14" x14ac:dyDescent="0.2">
      <c r="A44" s="339"/>
      <c r="B44" s="338"/>
      <c r="C44" s="338"/>
      <c r="D44" s="338"/>
      <c r="E44" s="338"/>
      <c r="F44" s="338"/>
      <c r="G44" s="338"/>
      <c r="H44" s="338"/>
      <c r="I44" s="338"/>
      <c r="J44" s="338"/>
      <c r="K44" s="338"/>
      <c r="L44" s="338"/>
      <c r="M44" s="338"/>
      <c r="N44" s="338">
        <f t="shared" si="0"/>
        <v>0</v>
      </c>
    </row>
    <row r="45" spans="1:14" x14ac:dyDescent="0.2">
      <c r="A45" s="339"/>
      <c r="B45" s="338"/>
      <c r="C45" s="338"/>
      <c r="D45" s="338"/>
      <c r="E45" s="338"/>
      <c r="F45" s="338"/>
      <c r="G45" s="338"/>
      <c r="H45" s="338"/>
      <c r="I45" s="338"/>
      <c r="J45" s="338"/>
      <c r="K45" s="338"/>
      <c r="L45" s="338"/>
      <c r="M45" s="338"/>
      <c r="N45" s="338">
        <f t="shared" si="0"/>
        <v>0</v>
      </c>
    </row>
    <row r="46" spans="1:14" x14ac:dyDescent="0.2">
      <c r="A46" s="339"/>
      <c r="B46" s="338"/>
      <c r="C46" s="338"/>
      <c r="D46" s="338"/>
      <c r="E46" s="338"/>
      <c r="F46" s="338"/>
      <c r="G46" s="338"/>
      <c r="H46" s="338"/>
      <c r="I46" s="338"/>
      <c r="J46" s="338"/>
      <c r="K46" s="338"/>
      <c r="L46" s="338"/>
      <c r="M46" s="338"/>
      <c r="N46" s="338">
        <f t="shared" si="0"/>
        <v>0</v>
      </c>
    </row>
    <row r="47" spans="1:14" x14ac:dyDescent="0.2">
      <c r="A47" s="339"/>
      <c r="B47" s="338"/>
      <c r="C47" s="338"/>
      <c r="D47" s="338"/>
      <c r="E47" s="338"/>
      <c r="F47" s="338"/>
      <c r="G47" s="338"/>
      <c r="H47" s="338"/>
      <c r="I47" s="338"/>
      <c r="J47" s="338"/>
      <c r="K47" s="338"/>
      <c r="L47" s="338"/>
      <c r="M47" s="338"/>
      <c r="N47" s="338">
        <f t="shared" si="0"/>
        <v>0</v>
      </c>
    </row>
    <row r="48" spans="1:14" x14ac:dyDescent="0.2">
      <c r="A48" s="339"/>
      <c r="B48" s="338"/>
      <c r="C48" s="338"/>
      <c r="D48" s="338"/>
      <c r="E48" s="338"/>
      <c r="F48" s="338"/>
      <c r="G48" s="338"/>
      <c r="H48" s="338"/>
      <c r="I48" s="338"/>
      <c r="J48" s="338"/>
      <c r="K48" s="338"/>
      <c r="L48" s="338"/>
      <c r="M48" s="338"/>
      <c r="N48" s="338">
        <f t="shared" si="0"/>
        <v>0</v>
      </c>
    </row>
    <row r="49" spans="1:14" x14ac:dyDescent="0.2">
      <c r="A49" s="339"/>
      <c r="B49" s="338"/>
      <c r="C49" s="338"/>
      <c r="D49" s="338"/>
      <c r="E49" s="338"/>
      <c r="F49" s="338"/>
      <c r="G49" s="338"/>
      <c r="H49" s="338"/>
      <c r="I49" s="338"/>
      <c r="J49" s="338"/>
      <c r="K49" s="338"/>
      <c r="L49" s="338"/>
      <c r="M49" s="338"/>
      <c r="N49" s="338">
        <f t="shared" si="0"/>
        <v>0</v>
      </c>
    </row>
    <row r="50" spans="1:14" x14ac:dyDescent="0.2">
      <c r="A50" s="339"/>
      <c r="B50" s="338"/>
      <c r="C50" s="338"/>
      <c r="D50" s="338"/>
      <c r="E50" s="338"/>
      <c r="F50" s="338"/>
      <c r="G50" s="338"/>
      <c r="H50" s="338"/>
      <c r="I50" s="338"/>
      <c r="J50" s="338"/>
      <c r="K50" s="338"/>
      <c r="L50" s="338"/>
      <c r="M50" s="338"/>
      <c r="N50" s="338">
        <f t="shared" si="0"/>
        <v>0</v>
      </c>
    </row>
    <row r="51" spans="1:14" x14ac:dyDescent="0.2">
      <c r="A51" s="339"/>
      <c r="B51" s="338"/>
      <c r="C51" s="338"/>
      <c r="D51" s="338"/>
      <c r="E51" s="338"/>
      <c r="F51" s="338"/>
      <c r="G51" s="338"/>
      <c r="H51" s="338"/>
      <c r="I51" s="338"/>
      <c r="J51" s="338"/>
      <c r="K51" s="338"/>
      <c r="L51" s="338"/>
      <c r="M51" s="338"/>
      <c r="N51" s="338">
        <f t="shared" si="0"/>
        <v>0</v>
      </c>
    </row>
    <row r="52" spans="1:14" x14ac:dyDescent="0.2">
      <c r="A52" s="339"/>
      <c r="B52" s="338"/>
      <c r="C52" s="338"/>
      <c r="D52" s="338"/>
      <c r="E52" s="338"/>
      <c r="F52" s="338"/>
      <c r="G52" s="338"/>
      <c r="H52" s="338"/>
      <c r="I52" s="338"/>
      <c r="J52" s="338"/>
      <c r="K52" s="338"/>
      <c r="L52" s="338"/>
      <c r="M52" s="338"/>
      <c r="N52" s="338">
        <f t="shared" si="0"/>
        <v>0</v>
      </c>
    </row>
    <row r="53" spans="1:14" x14ac:dyDescent="0.2">
      <c r="A53" s="339"/>
      <c r="B53" s="338"/>
      <c r="C53" s="338"/>
      <c r="D53" s="338"/>
      <c r="E53" s="338"/>
      <c r="F53" s="338"/>
      <c r="G53" s="338"/>
      <c r="H53" s="338"/>
      <c r="I53" s="338"/>
      <c r="J53" s="338"/>
      <c r="K53" s="338"/>
      <c r="L53" s="338"/>
      <c r="M53" s="338"/>
      <c r="N53" s="338">
        <f t="shared" si="0"/>
        <v>0</v>
      </c>
    </row>
    <row r="54" spans="1:14" x14ac:dyDescent="0.2">
      <c r="A54" s="339"/>
      <c r="B54" s="338"/>
      <c r="C54" s="338"/>
      <c r="D54" s="338"/>
      <c r="E54" s="338"/>
      <c r="F54" s="338"/>
      <c r="G54" s="338"/>
      <c r="H54" s="338"/>
      <c r="I54" s="338"/>
      <c r="J54" s="338"/>
      <c r="K54" s="338"/>
      <c r="L54" s="338"/>
      <c r="M54" s="338"/>
      <c r="N54" s="338">
        <f t="shared" si="0"/>
        <v>0</v>
      </c>
    </row>
    <row r="55" spans="1:14" x14ac:dyDescent="0.2">
      <c r="A55" s="339"/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>
        <f t="shared" si="0"/>
        <v>0</v>
      </c>
    </row>
    <row r="56" spans="1:14" x14ac:dyDescent="0.2">
      <c r="A56" s="339"/>
      <c r="B56" s="338"/>
      <c r="C56" s="338"/>
      <c r="D56" s="338"/>
      <c r="E56" s="338"/>
      <c r="F56" s="338"/>
      <c r="G56" s="338"/>
      <c r="H56" s="338"/>
      <c r="I56" s="338"/>
      <c r="J56" s="338"/>
      <c r="K56" s="338"/>
      <c r="L56" s="338"/>
      <c r="M56" s="338"/>
      <c r="N56" s="338">
        <f t="shared" si="0"/>
        <v>0</v>
      </c>
    </row>
    <row r="57" spans="1:14" x14ac:dyDescent="0.2">
      <c r="A57" s="339"/>
      <c r="B57" s="338"/>
      <c r="C57" s="338"/>
      <c r="D57" s="338"/>
      <c r="E57" s="338"/>
      <c r="F57" s="338"/>
      <c r="G57" s="338"/>
      <c r="H57" s="338"/>
      <c r="I57" s="338"/>
      <c r="J57" s="338"/>
      <c r="K57" s="338"/>
      <c r="L57" s="338"/>
      <c r="M57" s="338"/>
      <c r="N57" s="338">
        <f t="shared" si="0"/>
        <v>0</v>
      </c>
    </row>
    <row r="58" spans="1:14" x14ac:dyDescent="0.2">
      <c r="A58" s="339"/>
      <c r="B58" s="338"/>
      <c r="C58" s="338"/>
      <c r="D58" s="338"/>
      <c r="E58" s="338"/>
      <c r="F58" s="338"/>
      <c r="G58" s="338"/>
      <c r="H58" s="338"/>
      <c r="I58" s="338"/>
      <c r="J58" s="338"/>
      <c r="K58" s="338"/>
      <c r="L58" s="338"/>
      <c r="M58" s="338"/>
      <c r="N58" s="338">
        <f t="shared" si="0"/>
        <v>0</v>
      </c>
    </row>
    <row r="59" spans="1:14" x14ac:dyDescent="0.2">
      <c r="A59" s="339"/>
      <c r="B59" s="338"/>
      <c r="C59" s="338"/>
      <c r="D59" s="338"/>
      <c r="E59" s="338"/>
      <c r="F59" s="338"/>
      <c r="G59" s="338"/>
      <c r="H59" s="338"/>
      <c r="I59" s="338"/>
      <c r="J59" s="338"/>
      <c r="K59" s="338"/>
      <c r="L59" s="338"/>
      <c r="M59" s="338"/>
      <c r="N59" s="338">
        <f t="shared" si="0"/>
        <v>0</v>
      </c>
    </row>
    <row r="60" spans="1:14" x14ac:dyDescent="0.2">
      <c r="A60" s="339"/>
      <c r="B60" s="338"/>
      <c r="C60" s="338"/>
      <c r="D60" s="338"/>
      <c r="E60" s="338"/>
      <c r="F60" s="338"/>
      <c r="G60" s="338"/>
      <c r="H60" s="338"/>
      <c r="I60" s="338"/>
      <c r="J60" s="338"/>
      <c r="K60" s="338"/>
      <c r="L60" s="338"/>
      <c r="M60" s="338"/>
      <c r="N60" s="338">
        <f t="shared" si="0"/>
        <v>0</v>
      </c>
    </row>
    <row r="61" spans="1:14" x14ac:dyDescent="0.2">
      <c r="A61" s="339"/>
      <c r="B61" s="338"/>
      <c r="C61" s="338"/>
      <c r="D61" s="338"/>
      <c r="E61" s="338"/>
      <c r="F61" s="338"/>
      <c r="G61" s="338"/>
      <c r="H61" s="338"/>
      <c r="I61" s="338"/>
      <c r="J61" s="338"/>
      <c r="K61" s="338"/>
      <c r="L61" s="338"/>
      <c r="M61" s="338"/>
      <c r="N61" s="338">
        <f t="shared" si="0"/>
        <v>0</v>
      </c>
    </row>
    <row r="62" spans="1:14" x14ac:dyDescent="0.2">
      <c r="A62" s="339"/>
      <c r="B62" s="338"/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>
        <f t="shared" si="0"/>
        <v>0</v>
      </c>
    </row>
    <row r="63" spans="1:14" x14ac:dyDescent="0.2">
      <c r="A63" s="339"/>
      <c r="B63" s="338"/>
      <c r="C63" s="338"/>
      <c r="D63" s="338"/>
      <c r="E63" s="338"/>
      <c r="F63" s="338"/>
      <c r="G63" s="338"/>
      <c r="H63" s="338"/>
      <c r="I63" s="338"/>
      <c r="J63" s="338"/>
      <c r="K63" s="338"/>
      <c r="L63" s="338"/>
      <c r="M63" s="338"/>
      <c r="N63" s="338">
        <f t="shared" si="0"/>
        <v>0</v>
      </c>
    </row>
    <row r="64" spans="1:14" x14ac:dyDescent="0.2">
      <c r="A64" s="329" t="s">
        <v>90</v>
      </c>
      <c r="B64" s="340">
        <f>SUM(B3:B63)</f>
        <v>362926.76</v>
      </c>
      <c r="C64" s="340">
        <f t="shared" ref="C64:M64" si="1">SUM(C4:C63)</f>
        <v>-71577.38</v>
      </c>
      <c r="D64" s="340">
        <f t="shared" si="1"/>
        <v>0</v>
      </c>
      <c r="E64" s="340">
        <f t="shared" si="1"/>
        <v>0</v>
      </c>
      <c r="F64" s="340">
        <f t="shared" si="1"/>
        <v>0</v>
      </c>
      <c r="G64" s="340">
        <f t="shared" si="1"/>
        <v>0</v>
      </c>
      <c r="H64" s="340">
        <f t="shared" si="1"/>
        <v>0</v>
      </c>
      <c r="I64" s="340">
        <f t="shared" si="1"/>
        <v>0</v>
      </c>
      <c r="J64" s="340">
        <f t="shared" si="1"/>
        <v>0</v>
      </c>
      <c r="K64" s="340">
        <f t="shared" si="1"/>
        <v>0</v>
      </c>
      <c r="L64" s="340">
        <f t="shared" si="1"/>
        <v>0</v>
      </c>
      <c r="M64" s="340">
        <f t="shared" si="1"/>
        <v>0</v>
      </c>
      <c r="N64" s="340">
        <f>SUM(N3:N63)</f>
        <v>291349.38</v>
      </c>
    </row>
    <row r="66" spans="14:14" x14ac:dyDescent="0.2">
      <c r="N66" s="342">
        <f>SUM(B64:M64)-N64</f>
        <v>0</v>
      </c>
    </row>
  </sheetData>
  <phoneticPr fontId="23" type="noConversion"/>
  <pageMargins left="0.25" right="0.25" top="0.75" bottom="0.75" header="0.3" footer="0.3"/>
  <pageSetup paperSize="9" scale="87" firstPageNumber="42949672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N79"/>
  <sheetViews>
    <sheetView workbookViewId="0">
      <selection activeCell="A11" sqref="A11"/>
    </sheetView>
  </sheetViews>
  <sheetFormatPr defaultRowHeight="15" x14ac:dyDescent="0.25"/>
  <cols>
    <col min="1" max="1" width="33.140625" bestFit="1" customWidth="1"/>
    <col min="2" max="9" width="12.85546875" bestFit="1" customWidth="1"/>
    <col min="10" max="10" width="11.85546875" bestFit="1" customWidth="1"/>
    <col min="11" max="13" width="12.85546875" bestFit="1" customWidth="1"/>
    <col min="14" max="14" width="14.5703125" style="96" bestFit="1" customWidth="1"/>
  </cols>
  <sheetData>
    <row r="1" spans="1:14" x14ac:dyDescent="0.25">
      <c r="A1" s="155" t="s">
        <v>105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84"/>
    </row>
    <row r="2" spans="1:14" x14ac:dyDescent="0.25">
      <c r="A2" s="156"/>
      <c r="B2" s="173" t="s">
        <v>9</v>
      </c>
      <c r="C2" s="172" t="s">
        <v>14</v>
      </c>
      <c r="D2" s="173" t="s">
        <v>15</v>
      </c>
      <c r="E2" s="172" t="s">
        <v>16</v>
      </c>
      <c r="F2" s="173" t="s">
        <v>17</v>
      </c>
      <c r="G2" s="172" t="s">
        <v>18</v>
      </c>
      <c r="H2" s="173" t="s">
        <v>19</v>
      </c>
      <c r="I2" s="172" t="s">
        <v>4</v>
      </c>
      <c r="J2" s="173" t="s">
        <v>5</v>
      </c>
      <c r="K2" s="172" t="s">
        <v>6</v>
      </c>
      <c r="L2" s="173" t="s">
        <v>7</v>
      </c>
      <c r="M2" s="172" t="s">
        <v>8</v>
      </c>
      <c r="N2" s="185"/>
    </row>
    <row r="3" spans="1:14" x14ac:dyDescent="0.25">
      <c r="A3" s="371" t="s">
        <v>105</v>
      </c>
      <c r="B3" s="346">
        <v>194952.64</v>
      </c>
      <c r="C3" s="346">
        <v>266694.18</v>
      </c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187">
        <f t="shared" ref="N3:N76" si="0">SUM(B3:M3)</f>
        <v>461646.82</v>
      </c>
    </row>
    <row r="4" spans="1:14" x14ac:dyDescent="0.25">
      <c r="A4" s="161" t="s">
        <v>163</v>
      </c>
      <c r="B4" s="187">
        <v>27063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93">
        <f t="shared" si="0"/>
        <v>27063</v>
      </c>
    </row>
    <row r="5" spans="1:14" x14ac:dyDescent="0.25">
      <c r="A5" s="161" t="s">
        <v>171</v>
      </c>
      <c r="B5" s="187">
        <v>7019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93">
        <f t="shared" si="0"/>
        <v>7019</v>
      </c>
    </row>
    <row r="6" spans="1:14" x14ac:dyDescent="0.25">
      <c r="A6" s="165" t="s">
        <v>172</v>
      </c>
      <c r="B6" s="187">
        <v>3732</v>
      </c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93">
        <f t="shared" si="0"/>
        <v>3732</v>
      </c>
    </row>
    <row r="7" spans="1:14" x14ac:dyDescent="0.25">
      <c r="A7" s="161" t="s">
        <v>207</v>
      </c>
      <c r="B7" s="187"/>
      <c r="C7" s="187">
        <v>918</v>
      </c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93">
        <f t="shared" si="0"/>
        <v>918</v>
      </c>
    </row>
    <row r="8" spans="1:14" x14ac:dyDescent="0.25">
      <c r="A8" s="161" t="s">
        <v>208</v>
      </c>
      <c r="B8" s="187"/>
      <c r="C8" s="187">
        <v>6179</v>
      </c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93">
        <f t="shared" si="0"/>
        <v>6179</v>
      </c>
    </row>
    <row r="9" spans="1:14" x14ac:dyDescent="0.25">
      <c r="A9" s="161" t="s">
        <v>215</v>
      </c>
      <c r="B9" s="187"/>
      <c r="C9" s="187">
        <v>3548</v>
      </c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93">
        <f t="shared" si="0"/>
        <v>3548</v>
      </c>
    </row>
    <row r="10" spans="1:14" x14ac:dyDescent="0.25">
      <c r="A10" s="161" t="s">
        <v>216</v>
      </c>
      <c r="B10" s="187"/>
      <c r="C10" s="187">
        <v>2370</v>
      </c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93">
        <f t="shared" si="0"/>
        <v>2370</v>
      </c>
    </row>
    <row r="11" spans="1:14" x14ac:dyDescent="0.25">
      <c r="A11" s="161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93">
        <f t="shared" si="0"/>
        <v>0</v>
      </c>
    </row>
    <row r="12" spans="1:14" x14ac:dyDescent="0.25">
      <c r="A12" s="161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93">
        <f t="shared" si="0"/>
        <v>0</v>
      </c>
    </row>
    <row r="13" spans="1:14" x14ac:dyDescent="0.25">
      <c r="A13" s="161"/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93">
        <f t="shared" si="0"/>
        <v>0</v>
      </c>
    </row>
    <row r="14" spans="1:14" x14ac:dyDescent="0.25">
      <c r="A14" s="161"/>
      <c r="B14" s="152"/>
      <c r="C14" s="152"/>
      <c r="D14" s="187"/>
      <c r="E14" s="152"/>
      <c r="F14" s="152"/>
      <c r="G14" s="152"/>
      <c r="H14" s="152"/>
      <c r="I14" s="152"/>
      <c r="J14" s="152"/>
      <c r="K14" s="152"/>
      <c r="L14" s="152"/>
      <c r="M14" s="152"/>
      <c r="N14" s="181">
        <f t="shared" si="0"/>
        <v>0</v>
      </c>
    </row>
    <row r="15" spans="1:14" x14ac:dyDescent="0.25">
      <c r="A15" s="161"/>
      <c r="B15" s="152"/>
      <c r="C15" s="152"/>
      <c r="D15" s="187"/>
      <c r="E15" s="152"/>
      <c r="F15" s="152"/>
      <c r="G15" s="152"/>
      <c r="H15" s="152"/>
      <c r="I15" s="152"/>
      <c r="J15" s="152"/>
      <c r="K15" s="152"/>
      <c r="L15" s="152"/>
      <c r="M15" s="152"/>
      <c r="N15" s="181">
        <f t="shared" si="0"/>
        <v>0</v>
      </c>
    </row>
    <row r="16" spans="1:14" x14ac:dyDescent="0.25">
      <c r="A16" s="161"/>
      <c r="B16" s="152"/>
      <c r="C16" s="152"/>
      <c r="D16" s="187"/>
      <c r="E16" s="152"/>
      <c r="F16" s="152"/>
      <c r="G16" s="152"/>
      <c r="H16" s="152"/>
      <c r="I16" s="152"/>
      <c r="J16" s="152"/>
      <c r="K16" s="152"/>
      <c r="L16" s="152"/>
      <c r="M16" s="152"/>
      <c r="N16" s="181">
        <f t="shared" si="0"/>
        <v>0</v>
      </c>
    </row>
    <row r="17" spans="1:14" x14ac:dyDescent="0.25">
      <c r="A17" s="362"/>
      <c r="B17" s="152"/>
      <c r="C17" s="152"/>
      <c r="D17" s="187"/>
      <c r="E17" s="152"/>
      <c r="F17" s="152"/>
      <c r="G17" s="152"/>
      <c r="H17" s="152"/>
      <c r="I17" s="152"/>
      <c r="J17" s="152"/>
      <c r="K17" s="152"/>
      <c r="L17" s="152"/>
      <c r="M17" s="152"/>
      <c r="N17" s="181">
        <f t="shared" si="0"/>
        <v>0</v>
      </c>
    </row>
    <row r="18" spans="1:14" x14ac:dyDescent="0.25">
      <c r="A18" s="161"/>
      <c r="B18" s="152"/>
      <c r="C18" s="152"/>
      <c r="D18" s="187"/>
      <c r="E18" s="152"/>
      <c r="F18" s="152"/>
      <c r="G18" s="152"/>
      <c r="H18" s="152"/>
      <c r="I18" s="152"/>
      <c r="J18" s="152"/>
      <c r="K18" s="152"/>
      <c r="L18" s="152"/>
      <c r="M18" s="152"/>
      <c r="N18" s="181">
        <f t="shared" si="0"/>
        <v>0</v>
      </c>
    </row>
    <row r="19" spans="1:14" x14ac:dyDescent="0.25">
      <c r="A19" s="161"/>
      <c r="B19" s="152"/>
      <c r="C19" s="152"/>
      <c r="D19" s="187"/>
      <c r="E19" s="152"/>
      <c r="F19" s="152"/>
      <c r="G19" s="152"/>
      <c r="H19" s="152"/>
      <c r="I19" s="152"/>
      <c r="J19" s="152"/>
      <c r="K19" s="152"/>
      <c r="L19" s="152"/>
      <c r="M19" s="152"/>
      <c r="N19" s="181">
        <f t="shared" si="0"/>
        <v>0</v>
      </c>
    </row>
    <row r="20" spans="1:14" x14ac:dyDescent="0.25">
      <c r="A20" s="161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81">
        <f t="shared" si="0"/>
        <v>0</v>
      </c>
    </row>
    <row r="21" spans="1:14" x14ac:dyDescent="0.25">
      <c r="A21" s="161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81">
        <f t="shared" si="0"/>
        <v>0</v>
      </c>
    </row>
    <row r="22" spans="1:14" x14ac:dyDescent="0.25">
      <c r="A22" s="161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81">
        <f t="shared" si="0"/>
        <v>0</v>
      </c>
    </row>
    <row r="23" spans="1:14" x14ac:dyDescent="0.25">
      <c r="A23" s="161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81">
        <f t="shared" si="0"/>
        <v>0</v>
      </c>
    </row>
    <row r="24" spans="1:14" x14ac:dyDescent="0.25">
      <c r="A24" s="161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81">
        <f t="shared" si="0"/>
        <v>0</v>
      </c>
    </row>
    <row r="25" spans="1:14" x14ac:dyDescent="0.25">
      <c r="A25" s="161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81">
        <f t="shared" si="0"/>
        <v>0</v>
      </c>
    </row>
    <row r="26" spans="1:14" x14ac:dyDescent="0.25">
      <c r="A26" s="161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81">
        <f t="shared" si="0"/>
        <v>0</v>
      </c>
    </row>
    <row r="27" spans="1:14" x14ac:dyDescent="0.25">
      <c r="A27" s="16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81">
        <f t="shared" si="0"/>
        <v>0</v>
      </c>
    </row>
    <row r="28" spans="1:14" x14ac:dyDescent="0.25">
      <c r="A28" s="161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81">
        <f t="shared" si="0"/>
        <v>0</v>
      </c>
    </row>
    <row r="29" spans="1:14" x14ac:dyDescent="0.25">
      <c r="A29" s="161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81">
        <f t="shared" si="0"/>
        <v>0</v>
      </c>
    </row>
    <row r="30" spans="1:14" x14ac:dyDescent="0.25">
      <c r="A30" s="351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81">
        <f t="shared" si="0"/>
        <v>0</v>
      </c>
    </row>
    <row r="31" spans="1:14" x14ac:dyDescent="0.25">
      <c r="A31" s="351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81">
        <f t="shared" si="0"/>
        <v>0</v>
      </c>
    </row>
    <row r="32" spans="1:14" x14ac:dyDescent="0.25">
      <c r="A32" s="351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81">
        <f t="shared" si="0"/>
        <v>0</v>
      </c>
    </row>
    <row r="33" spans="1:14" x14ac:dyDescent="0.25">
      <c r="A33" s="354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81">
        <f t="shared" si="0"/>
        <v>0</v>
      </c>
    </row>
    <row r="34" spans="1:14" x14ac:dyDescent="0.25">
      <c r="A34" s="354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81">
        <f t="shared" si="0"/>
        <v>0</v>
      </c>
    </row>
    <row r="35" spans="1:14" x14ac:dyDescent="0.25">
      <c r="A35" s="354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81">
        <f t="shared" si="0"/>
        <v>0</v>
      </c>
    </row>
    <row r="36" spans="1:14" x14ac:dyDescent="0.25">
      <c r="A36" s="354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81">
        <f t="shared" si="0"/>
        <v>0</v>
      </c>
    </row>
    <row r="37" spans="1:14" x14ac:dyDescent="0.25">
      <c r="A37" s="354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81">
        <f t="shared" si="0"/>
        <v>0</v>
      </c>
    </row>
    <row r="38" spans="1:14" x14ac:dyDescent="0.25">
      <c r="A38" s="354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81">
        <f t="shared" si="0"/>
        <v>0</v>
      </c>
    </row>
    <row r="39" spans="1:14" x14ac:dyDescent="0.25">
      <c r="A39" s="354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81">
        <f t="shared" si="0"/>
        <v>0</v>
      </c>
    </row>
    <row r="40" spans="1:14" x14ac:dyDescent="0.25">
      <c r="A40" s="354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81">
        <f t="shared" si="0"/>
        <v>0</v>
      </c>
    </row>
    <row r="41" spans="1:14" x14ac:dyDescent="0.25">
      <c r="A41" s="354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81">
        <f t="shared" si="0"/>
        <v>0</v>
      </c>
    </row>
    <row r="42" spans="1:14" x14ac:dyDescent="0.25">
      <c r="A42" s="354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81">
        <f t="shared" si="0"/>
        <v>0</v>
      </c>
    </row>
    <row r="43" spans="1:14" x14ac:dyDescent="0.25">
      <c r="A43" s="354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81">
        <f t="shared" si="0"/>
        <v>0</v>
      </c>
    </row>
    <row r="44" spans="1:14" x14ac:dyDescent="0.25">
      <c r="A44" s="354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81">
        <f t="shared" si="0"/>
        <v>0</v>
      </c>
    </row>
    <row r="45" spans="1:14" x14ac:dyDescent="0.25">
      <c r="A45" s="354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81">
        <f t="shared" si="0"/>
        <v>0</v>
      </c>
    </row>
    <row r="46" spans="1:14" x14ac:dyDescent="0.25">
      <c r="A46" s="354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81">
        <f t="shared" si="0"/>
        <v>0</v>
      </c>
    </row>
    <row r="47" spans="1:14" x14ac:dyDescent="0.25">
      <c r="A47" s="354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81">
        <f t="shared" si="0"/>
        <v>0</v>
      </c>
    </row>
    <row r="48" spans="1:14" x14ac:dyDescent="0.25">
      <c r="A48" s="354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81">
        <f t="shared" si="0"/>
        <v>0</v>
      </c>
    </row>
    <row r="49" spans="1:14" x14ac:dyDescent="0.25">
      <c r="A49" s="354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81">
        <f t="shared" si="0"/>
        <v>0</v>
      </c>
    </row>
    <row r="50" spans="1:14" x14ac:dyDescent="0.25">
      <c r="A50" s="354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81">
        <f t="shared" si="0"/>
        <v>0</v>
      </c>
    </row>
    <row r="51" spans="1:14" x14ac:dyDescent="0.25">
      <c r="A51" s="354"/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81">
        <f t="shared" si="0"/>
        <v>0</v>
      </c>
    </row>
    <row r="52" spans="1:14" x14ac:dyDescent="0.25">
      <c r="A52" s="354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81">
        <f t="shared" si="0"/>
        <v>0</v>
      </c>
    </row>
    <row r="53" spans="1:14" x14ac:dyDescent="0.25">
      <c r="A53" s="354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81">
        <f t="shared" si="0"/>
        <v>0</v>
      </c>
    </row>
    <row r="54" spans="1:14" x14ac:dyDescent="0.25">
      <c r="A54" s="354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81">
        <f t="shared" si="0"/>
        <v>0</v>
      </c>
    </row>
    <row r="55" spans="1:14" x14ac:dyDescent="0.25">
      <c r="A55" s="354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81">
        <f t="shared" si="0"/>
        <v>0</v>
      </c>
    </row>
    <row r="56" spans="1:14" x14ac:dyDescent="0.25">
      <c r="A56" s="354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81">
        <f t="shared" si="0"/>
        <v>0</v>
      </c>
    </row>
    <row r="57" spans="1:14" x14ac:dyDescent="0.25">
      <c r="A57" s="354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81">
        <f t="shared" si="0"/>
        <v>0</v>
      </c>
    </row>
    <row r="58" spans="1:14" x14ac:dyDescent="0.25">
      <c r="A58" s="354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81">
        <f t="shared" si="0"/>
        <v>0</v>
      </c>
    </row>
    <row r="59" spans="1:14" x14ac:dyDescent="0.25">
      <c r="A59" s="354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81">
        <f t="shared" si="0"/>
        <v>0</v>
      </c>
    </row>
    <row r="60" spans="1:14" x14ac:dyDescent="0.25">
      <c r="A60" s="354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81">
        <f t="shared" si="0"/>
        <v>0</v>
      </c>
    </row>
    <row r="61" spans="1:14" x14ac:dyDescent="0.25">
      <c r="A61" s="354"/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81">
        <f t="shared" si="0"/>
        <v>0</v>
      </c>
    </row>
    <row r="62" spans="1:14" x14ac:dyDescent="0.25">
      <c r="A62" s="354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81">
        <f t="shared" si="0"/>
        <v>0</v>
      </c>
    </row>
    <row r="63" spans="1:14" x14ac:dyDescent="0.25">
      <c r="A63" s="354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81">
        <f t="shared" si="0"/>
        <v>0</v>
      </c>
    </row>
    <row r="64" spans="1:14" x14ac:dyDescent="0.25">
      <c r="A64" s="354"/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81">
        <f t="shared" si="0"/>
        <v>0</v>
      </c>
    </row>
    <row r="65" spans="1:14" x14ac:dyDescent="0.25">
      <c r="A65" s="354"/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81">
        <f t="shared" si="0"/>
        <v>0</v>
      </c>
    </row>
    <row r="66" spans="1:14" x14ac:dyDescent="0.25">
      <c r="A66" s="354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81">
        <f t="shared" ref="N66:N70" si="1">SUM(B66:M66)</f>
        <v>0</v>
      </c>
    </row>
    <row r="67" spans="1:14" x14ac:dyDescent="0.25">
      <c r="A67" s="354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81">
        <f t="shared" si="1"/>
        <v>0</v>
      </c>
    </row>
    <row r="68" spans="1:14" x14ac:dyDescent="0.25">
      <c r="A68" s="354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81">
        <f t="shared" si="1"/>
        <v>0</v>
      </c>
    </row>
    <row r="69" spans="1:14" x14ac:dyDescent="0.25">
      <c r="A69" s="354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81">
        <f t="shared" si="1"/>
        <v>0</v>
      </c>
    </row>
    <row r="70" spans="1:14" x14ac:dyDescent="0.25">
      <c r="A70" s="354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81">
        <f t="shared" si="1"/>
        <v>0</v>
      </c>
    </row>
    <row r="71" spans="1:14" x14ac:dyDescent="0.25">
      <c r="A71" s="354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81">
        <f t="shared" si="0"/>
        <v>0</v>
      </c>
    </row>
    <row r="72" spans="1:14" x14ac:dyDescent="0.25">
      <c r="A72" s="354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81">
        <f t="shared" si="0"/>
        <v>0</v>
      </c>
    </row>
    <row r="73" spans="1:14" x14ac:dyDescent="0.25">
      <c r="A73" s="354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81">
        <f t="shared" si="0"/>
        <v>0</v>
      </c>
    </row>
    <row r="74" spans="1:14" x14ac:dyDescent="0.25">
      <c r="A74" s="354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81">
        <f t="shared" si="0"/>
        <v>0</v>
      </c>
    </row>
    <row r="75" spans="1:14" x14ac:dyDescent="0.25">
      <c r="A75" s="354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81">
        <f t="shared" si="0"/>
        <v>0</v>
      </c>
    </row>
    <row r="76" spans="1:14" x14ac:dyDescent="0.25">
      <c r="A76" s="354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81">
        <f t="shared" si="0"/>
        <v>0</v>
      </c>
    </row>
    <row r="77" spans="1:14" x14ac:dyDescent="0.25">
      <c r="A77" s="155" t="s">
        <v>90</v>
      </c>
      <c r="B77" s="166">
        <f>SUM(B3:B76)</f>
        <v>232766.64</v>
      </c>
      <c r="C77" s="166">
        <f>SUM(C3:C76)</f>
        <v>279709.18</v>
      </c>
      <c r="D77" s="166">
        <f t="shared" ref="D77:I77" si="2">SUM(D3:D76)</f>
        <v>0</v>
      </c>
      <c r="E77" s="166">
        <f t="shared" si="2"/>
        <v>0</v>
      </c>
      <c r="F77" s="166">
        <f t="shared" si="2"/>
        <v>0</v>
      </c>
      <c r="G77" s="166">
        <f t="shared" si="2"/>
        <v>0</v>
      </c>
      <c r="H77" s="166">
        <f>SUM(H3:H76)</f>
        <v>0</v>
      </c>
      <c r="I77" s="166">
        <f t="shared" si="2"/>
        <v>0</v>
      </c>
      <c r="J77" s="166">
        <f>SUM(J3:J76)</f>
        <v>0</v>
      </c>
      <c r="K77" s="166">
        <f>SUM(K3:K76)</f>
        <v>0</v>
      </c>
      <c r="L77" s="166">
        <f>SUM(L3:L76)</f>
        <v>0</v>
      </c>
      <c r="M77" s="166">
        <f>SUM(M3:M76)</f>
        <v>0</v>
      </c>
      <c r="N77" s="186">
        <f>SUM(N3:N76)</f>
        <v>512475.82</v>
      </c>
    </row>
    <row r="79" spans="1:14" x14ac:dyDescent="0.25">
      <c r="N79" s="96">
        <f>SUM(B77:M77)-N77</f>
        <v>0</v>
      </c>
    </row>
  </sheetData>
  <phoneticPr fontId="23" type="noConversion"/>
  <pageMargins left="0.25" right="0.25" top="0.75" bottom="0.75" header="0.3" footer="0.3"/>
  <pageSetup paperSize="9" scale="67" firstPageNumber="42949672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  <pageSetUpPr fitToPage="1"/>
  </sheetPr>
  <dimension ref="A1:N49"/>
  <sheetViews>
    <sheetView workbookViewId="0">
      <selection activeCell="N48" sqref="N48"/>
    </sheetView>
  </sheetViews>
  <sheetFormatPr defaultRowHeight="15" x14ac:dyDescent="0.25"/>
  <cols>
    <col min="1" max="1" width="29.42578125" bestFit="1" customWidth="1"/>
    <col min="6" max="6" width="10.28515625" bestFit="1" customWidth="1"/>
    <col min="14" max="14" width="12.85546875" bestFit="1" customWidth="1"/>
  </cols>
  <sheetData>
    <row r="1" spans="1:14" x14ac:dyDescent="0.25">
      <c r="A1" s="155" t="s">
        <v>124</v>
      </c>
      <c r="C1" s="155"/>
      <c r="D1" s="135" t="str">
        <f>'ВСЕ затраты'!B1</f>
        <v>2024-2025гг.</v>
      </c>
      <c r="E1" s="155"/>
      <c r="F1" s="155"/>
      <c r="G1" s="155"/>
      <c r="H1" s="155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90</v>
      </c>
    </row>
    <row r="3" spans="1:14" x14ac:dyDescent="0.25">
      <c r="A3" s="148" t="s">
        <v>202</v>
      </c>
      <c r="B3" s="191"/>
      <c r="C3" s="191">
        <f>13396+13496+13596</f>
        <v>40488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344">
        <f t="shared" ref="N3:N46" si="0">SUM(B3:M3)</f>
        <v>40488</v>
      </c>
    </row>
    <row r="4" spans="1:14" x14ac:dyDescent="0.25">
      <c r="A4" s="161" t="s">
        <v>204</v>
      </c>
      <c r="B4" s="191"/>
      <c r="C4" s="191">
        <v>1089.5999999999999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344">
        <f t="shared" si="0"/>
        <v>1089.5999999999999</v>
      </c>
    </row>
    <row r="5" spans="1:14" x14ac:dyDescent="0.25">
      <c r="A5" s="161" t="s">
        <v>173</v>
      </c>
      <c r="B5" s="191">
        <f>2411.2+1205.6+2411.2</f>
        <v>6028</v>
      </c>
      <c r="C5" s="191">
        <f>2423.2+1817.4+1211.6+2431.2</f>
        <v>7883.4000000000005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344">
        <f t="shared" si="0"/>
        <v>13911.400000000001</v>
      </c>
    </row>
    <row r="6" spans="1:14" x14ac:dyDescent="0.25">
      <c r="A6" s="161" t="s">
        <v>174</v>
      </c>
      <c r="B6" s="179">
        <v>810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344">
        <f t="shared" si="0"/>
        <v>810</v>
      </c>
    </row>
    <row r="7" spans="1:14" x14ac:dyDescent="0.25">
      <c r="A7" s="142" t="s">
        <v>159</v>
      </c>
      <c r="B7" s="191">
        <f>18000+22400+420+110+1700+2000+700+950+1000+1000+250</f>
        <v>48530</v>
      </c>
      <c r="C7" s="192"/>
      <c r="D7" s="345"/>
      <c r="E7" s="345"/>
      <c r="F7" s="345"/>
      <c r="G7" s="345"/>
      <c r="H7" s="345"/>
      <c r="I7" s="345"/>
      <c r="J7" s="192"/>
      <c r="K7" s="192"/>
      <c r="L7" s="192"/>
      <c r="M7" s="192"/>
      <c r="N7" s="344">
        <f>SUM(B7:M7)</f>
        <v>48530</v>
      </c>
    </row>
    <row r="8" spans="1:14" x14ac:dyDescent="0.25">
      <c r="A8" s="161" t="s">
        <v>190</v>
      </c>
      <c r="B8" s="179"/>
      <c r="C8" s="179">
        <f>400+400+400</f>
        <v>1200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344">
        <f t="shared" si="0"/>
        <v>1200</v>
      </c>
    </row>
    <row r="9" spans="1:14" x14ac:dyDescent="0.25">
      <c r="A9" s="165" t="s">
        <v>192</v>
      </c>
      <c r="B9" s="179"/>
      <c r="C9" s="179">
        <f>9760+16900</f>
        <v>26660</v>
      </c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344">
        <f t="shared" si="0"/>
        <v>26660</v>
      </c>
    </row>
    <row r="10" spans="1:14" x14ac:dyDescent="0.25">
      <c r="A10" s="165" t="s">
        <v>203</v>
      </c>
      <c r="B10" s="179"/>
      <c r="C10" s="179">
        <v>150</v>
      </c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344">
        <f t="shared" si="0"/>
        <v>150</v>
      </c>
    </row>
    <row r="11" spans="1:14" x14ac:dyDescent="0.25">
      <c r="A11" s="165" t="s">
        <v>209</v>
      </c>
      <c r="B11" s="179"/>
      <c r="C11" s="179">
        <v>884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344">
        <f t="shared" si="0"/>
        <v>884</v>
      </c>
    </row>
    <row r="12" spans="1:14" x14ac:dyDescent="0.25">
      <c r="A12" s="165" t="s">
        <v>218</v>
      </c>
      <c r="B12" s="179"/>
      <c r="C12" s="179">
        <v>2100</v>
      </c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344">
        <f t="shared" si="0"/>
        <v>2100</v>
      </c>
    </row>
    <row r="13" spans="1:14" x14ac:dyDescent="0.25">
      <c r="A13" s="165" t="s">
        <v>198</v>
      </c>
      <c r="B13" s="179"/>
      <c r="C13" s="179">
        <v>1690</v>
      </c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344">
        <f t="shared" si="0"/>
        <v>1690</v>
      </c>
    </row>
    <row r="14" spans="1:14" x14ac:dyDescent="0.25">
      <c r="A14" s="165" t="s">
        <v>217</v>
      </c>
      <c r="B14" s="179"/>
      <c r="C14" s="179">
        <v>1200</v>
      </c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344">
        <f t="shared" si="0"/>
        <v>1200</v>
      </c>
    </row>
    <row r="15" spans="1:14" x14ac:dyDescent="0.25">
      <c r="A15" s="165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344">
        <f t="shared" si="0"/>
        <v>0</v>
      </c>
    </row>
    <row r="16" spans="1:14" x14ac:dyDescent="0.25">
      <c r="A16" s="347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344">
        <f t="shared" si="0"/>
        <v>0</v>
      </c>
    </row>
    <row r="17" spans="1:14" x14ac:dyDescent="0.25">
      <c r="A17" s="165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344">
        <f t="shared" si="0"/>
        <v>0</v>
      </c>
    </row>
    <row r="18" spans="1:14" x14ac:dyDescent="0.25">
      <c r="A18" s="165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344">
        <f t="shared" si="0"/>
        <v>0</v>
      </c>
    </row>
    <row r="19" spans="1:14" x14ac:dyDescent="0.25">
      <c r="A19" s="165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344">
        <f t="shared" si="0"/>
        <v>0</v>
      </c>
    </row>
    <row r="20" spans="1:14" x14ac:dyDescent="0.25">
      <c r="A20" s="165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344">
        <f t="shared" si="0"/>
        <v>0</v>
      </c>
    </row>
    <row r="21" spans="1:14" x14ac:dyDescent="0.25">
      <c r="A21" s="165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344">
        <f t="shared" si="0"/>
        <v>0</v>
      </c>
    </row>
    <row r="22" spans="1:14" x14ac:dyDescent="0.25">
      <c r="A22" s="165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344">
        <f t="shared" si="0"/>
        <v>0</v>
      </c>
    </row>
    <row r="23" spans="1:14" x14ac:dyDescent="0.25">
      <c r="A23" s="165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344">
        <f t="shared" si="0"/>
        <v>0</v>
      </c>
    </row>
    <row r="24" spans="1:14" x14ac:dyDescent="0.25">
      <c r="A24" s="165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344">
        <f t="shared" si="0"/>
        <v>0</v>
      </c>
    </row>
    <row r="25" spans="1:14" x14ac:dyDescent="0.25">
      <c r="A25" s="165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344">
        <f t="shared" si="0"/>
        <v>0</v>
      </c>
    </row>
    <row r="26" spans="1:14" x14ac:dyDescent="0.25">
      <c r="A26" s="165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344">
        <f t="shared" si="0"/>
        <v>0</v>
      </c>
    </row>
    <row r="27" spans="1:14" x14ac:dyDescent="0.25">
      <c r="A27" s="165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344">
        <f t="shared" si="0"/>
        <v>0</v>
      </c>
    </row>
    <row r="28" spans="1:14" x14ac:dyDescent="0.25">
      <c r="A28" s="165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344">
        <f t="shared" si="0"/>
        <v>0</v>
      </c>
    </row>
    <row r="29" spans="1:14" x14ac:dyDescent="0.25">
      <c r="A29" s="165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344">
        <f t="shared" si="0"/>
        <v>0</v>
      </c>
    </row>
    <row r="30" spans="1:14" x14ac:dyDescent="0.25">
      <c r="A30" s="165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344">
        <f t="shared" si="0"/>
        <v>0</v>
      </c>
    </row>
    <row r="31" spans="1:14" x14ac:dyDescent="0.25">
      <c r="A31" s="165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344">
        <f t="shared" si="0"/>
        <v>0</v>
      </c>
    </row>
    <row r="32" spans="1:14" x14ac:dyDescent="0.25">
      <c r="A32" s="165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344">
        <f t="shared" si="0"/>
        <v>0</v>
      </c>
    </row>
    <row r="33" spans="1:14" x14ac:dyDescent="0.25">
      <c r="A33" s="165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344">
        <f t="shared" si="0"/>
        <v>0</v>
      </c>
    </row>
    <row r="34" spans="1:14" x14ac:dyDescent="0.25">
      <c r="A34" s="165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344">
        <f t="shared" si="0"/>
        <v>0</v>
      </c>
    </row>
    <row r="35" spans="1:14" x14ac:dyDescent="0.25">
      <c r="A35" s="165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344">
        <f t="shared" si="0"/>
        <v>0</v>
      </c>
    </row>
    <row r="36" spans="1:14" x14ac:dyDescent="0.25">
      <c r="A36" s="165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344">
        <f t="shared" si="0"/>
        <v>0</v>
      </c>
    </row>
    <row r="37" spans="1:14" x14ac:dyDescent="0.25">
      <c r="A37" s="165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344">
        <f t="shared" si="0"/>
        <v>0</v>
      </c>
    </row>
    <row r="38" spans="1:14" x14ac:dyDescent="0.25">
      <c r="A38" s="165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344">
        <f t="shared" si="0"/>
        <v>0</v>
      </c>
    </row>
    <row r="39" spans="1:14" x14ac:dyDescent="0.25">
      <c r="A39" s="165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344">
        <f t="shared" si="0"/>
        <v>0</v>
      </c>
    </row>
    <row r="40" spans="1:14" x14ac:dyDescent="0.25">
      <c r="A40" s="165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344">
        <f t="shared" ref="N40:N42" si="1">SUM(B40:M40)</f>
        <v>0</v>
      </c>
    </row>
    <row r="41" spans="1:14" x14ac:dyDescent="0.25">
      <c r="A41" s="165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344">
        <f t="shared" si="1"/>
        <v>0</v>
      </c>
    </row>
    <row r="42" spans="1:14" x14ac:dyDescent="0.25">
      <c r="A42" s="165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344">
        <f t="shared" si="1"/>
        <v>0</v>
      </c>
    </row>
    <row r="43" spans="1:14" x14ac:dyDescent="0.25">
      <c r="A43" s="165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344">
        <f t="shared" si="0"/>
        <v>0</v>
      </c>
    </row>
    <row r="44" spans="1:14" x14ac:dyDescent="0.25">
      <c r="A44" s="165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344">
        <f t="shared" si="0"/>
        <v>0</v>
      </c>
    </row>
    <row r="45" spans="1:14" x14ac:dyDescent="0.25">
      <c r="A45" s="165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344">
        <f t="shared" si="0"/>
        <v>0</v>
      </c>
    </row>
    <row r="46" spans="1:14" x14ac:dyDescent="0.25">
      <c r="A46" s="165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344">
        <f t="shared" si="0"/>
        <v>0</v>
      </c>
    </row>
    <row r="47" spans="1:14" x14ac:dyDescent="0.25">
      <c r="A47" s="155" t="s">
        <v>90</v>
      </c>
      <c r="B47" s="153">
        <f>SUM(B3:B46)</f>
        <v>55368</v>
      </c>
      <c r="C47" s="153">
        <f>SUM(C3:C46)</f>
        <v>83345</v>
      </c>
      <c r="D47" s="153">
        <f>SUM(D3:D46)</f>
        <v>0</v>
      </c>
      <c r="E47" s="153">
        <f>SUM(E3:E46)</f>
        <v>0</v>
      </c>
      <c r="F47" s="153">
        <f>SUM(F3:F46)</f>
        <v>0</v>
      </c>
      <c r="G47" s="153">
        <f>SUM(G3:G46)</f>
        <v>0</v>
      </c>
      <c r="H47" s="153">
        <f>SUM(H3:H46)</f>
        <v>0</v>
      </c>
      <c r="I47" s="153">
        <f>SUM(I3:I46)</f>
        <v>0</v>
      </c>
      <c r="J47" s="153">
        <f>SUM(J3:J46)</f>
        <v>0</v>
      </c>
      <c r="K47" s="153">
        <f>SUM(K3:K46)</f>
        <v>0</v>
      </c>
      <c r="L47" s="153">
        <f>SUM(L3:L46)</f>
        <v>0</v>
      </c>
      <c r="M47" s="153">
        <f>SUM(M3:M46)</f>
        <v>0</v>
      </c>
      <c r="N47" s="301">
        <f>SUM(N3:N46)</f>
        <v>138713</v>
      </c>
    </row>
    <row r="49" spans="14:14" x14ac:dyDescent="0.25">
      <c r="N49" s="160">
        <f>SUM(B47:M47)-N47</f>
        <v>0</v>
      </c>
    </row>
  </sheetData>
  <phoneticPr fontId="23" type="noConversion"/>
  <pageMargins left="0.25" right="0.25" top="0.75" bottom="0.75" header="0.3" footer="0.3"/>
  <pageSetup paperSize="9" scale="69" firstPageNumber="42949672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64"/>
  <sheetViews>
    <sheetView topLeftCell="A34" workbookViewId="0">
      <selection activeCell="B5" sqref="B5"/>
    </sheetView>
  </sheetViews>
  <sheetFormatPr defaultRowHeight="15" x14ac:dyDescent="0.25"/>
  <cols>
    <col min="1" max="1" width="29.85546875" style="94" bestFit="1" customWidth="1"/>
    <col min="2" max="2" width="11.5703125" style="1" bestFit="1" customWidth="1"/>
    <col min="3" max="3" width="9.28515625" style="1" bestFit="1" customWidth="1"/>
    <col min="4" max="5" width="8" style="1" customWidth="1"/>
    <col min="6" max="6" width="10.85546875" style="1" customWidth="1"/>
    <col min="7" max="7" width="10.7109375" style="1" customWidth="1"/>
    <col min="8" max="9" width="9.28515625" style="1" bestFit="1" customWidth="1"/>
    <col min="10" max="11" width="10.28515625" style="1" bestFit="1" customWidth="1"/>
    <col min="12" max="13" width="9.28515625" style="1" bestFit="1" customWidth="1"/>
    <col min="14" max="14" width="10.28515625" style="202" bestFit="1" customWidth="1"/>
  </cols>
  <sheetData>
    <row r="1" spans="1:14" x14ac:dyDescent="0.25">
      <c r="A1" s="133" t="s">
        <v>107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200"/>
    </row>
    <row r="2" spans="1:14" x14ac:dyDescent="0.25">
      <c r="A2" s="137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201"/>
    </row>
    <row r="3" spans="1:14" x14ac:dyDescent="0.25">
      <c r="A3" s="177" t="s">
        <v>126</v>
      </c>
      <c r="B3" s="179">
        <v>64345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1">
        <f t="shared" ref="N3:N39" si="0">SUM(B3:M3)</f>
        <v>64345</v>
      </c>
    </row>
    <row r="4" spans="1:14" x14ac:dyDescent="0.25">
      <c r="A4" s="177" t="s">
        <v>168</v>
      </c>
      <c r="B4" s="179">
        <v>2889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1">
        <f t="shared" si="0"/>
        <v>2889</v>
      </c>
    </row>
    <row r="5" spans="1:14" x14ac:dyDescent="0.25">
      <c r="A5" s="177" t="s">
        <v>169</v>
      </c>
      <c r="B5" s="179">
        <v>1350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81">
        <f t="shared" si="0"/>
        <v>1350</v>
      </c>
    </row>
    <row r="6" spans="1:14" x14ac:dyDescent="0.25">
      <c r="A6" s="177" t="s">
        <v>181</v>
      </c>
      <c r="B6" s="179">
        <v>13756</v>
      </c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81">
        <f t="shared" si="0"/>
        <v>13756</v>
      </c>
    </row>
    <row r="7" spans="1:14" x14ac:dyDescent="0.25">
      <c r="A7" s="165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83">
        <f t="shared" si="0"/>
        <v>0</v>
      </c>
    </row>
    <row r="8" spans="1:14" x14ac:dyDescent="0.25">
      <c r="A8" s="165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83">
        <f t="shared" si="0"/>
        <v>0</v>
      </c>
    </row>
    <row r="9" spans="1:14" x14ac:dyDescent="0.25">
      <c r="A9" s="165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83">
        <f t="shared" si="0"/>
        <v>0</v>
      </c>
    </row>
    <row r="10" spans="1:14" x14ac:dyDescent="0.25">
      <c r="A10" s="165"/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83">
        <f t="shared" si="0"/>
        <v>0</v>
      </c>
    </row>
    <row r="11" spans="1:14" x14ac:dyDescent="0.25">
      <c r="A11" s="165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83">
        <f t="shared" si="0"/>
        <v>0</v>
      </c>
    </row>
    <row r="12" spans="1:14" x14ac:dyDescent="0.25">
      <c r="A12" s="165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83">
        <f t="shared" si="0"/>
        <v>0</v>
      </c>
    </row>
    <row r="13" spans="1:14" x14ac:dyDescent="0.25">
      <c r="A13" s="165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83">
        <f t="shared" si="0"/>
        <v>0</v>
      </c>
    </row>
    <row r="14" spans="1:14" x14ac:dyDescent="0.25">
      <c r="A14" s="177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81">
        <f t="shared" si="0"/>
        <v>0</v>
      </c>
    </row>
    <row r="15" spans="1:14" x14ac:dyDescent="0.25">
      <c r="A15" s="177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81">
        <f t="shared" si="0"/>
        <v>0</v>
      </c>
    </row>
    <row r="16" spans="1:14" x14ac:dyDescent="0.25">
      <c r="A16" s="177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81">
        <f t="shared" si="0"/>
        <v>0</v>
      </c>
    </row>
    <row r="17" spans="1:14" x14ac:dyDescent="0.25">
      <c r="A17" s="177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81">
        <f t="shared" si="0"/>
        <v>0</v>
      </c>
    </row>
    <row r="18" spans="1:14" x14ac:dyDescent="0.25">
      <c r="A18" s="177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81">
        <f t="shared" si="0"/>
        <v>0</v>
      </c>
    </row>
    <row r="19" spans="1:14" x14ac:dyDescent="0.25">
      <c r="A19" s="177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81">
        <f t="shared" si="0"/>
        <v>0</v>
      </c>
    </row>
    <row r="20" spans="1:14" x14ac:dyDescent="0.25">
      <c r="A20" s="177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81">
        <f t="shared" si="0"/>
        <v>0</v>
      </c>
    </row>
    <row r="21" spans="1:14" x14ac:dyDescent="0.25">
      <c r="A21" s="177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81">
        <f t="shared" si="0"/>
        <v>0</v>
      </c>
    </row>
    <row r="22" spans="1:14" x14ac:dyDescent="0.25">
      <c r="A22" s="177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81">
        <f t="shared" si="0"/>
        <v>0</v>
      </c>
    </row>
    <row r="23" spans="1:14" x14ac:dyDescent="0.25">
      <c r="A23" s="177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81">
        <f t="shared" si="0"/>
        <v>0</v>
      </c>
    </row>
    <row r="24" spans="1:14" x14ac:dyDescent="0.25">
      <c r="A24" s="177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81">
        <f t="shared" si="0"/>
        <v>0</v>
      </c>
    </row>
    <row r="25" spans="1:14" x14ac:dyDescent="0.25">
      <c r="A25" s="177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81">
        <f t="shared" si="0"/>
        <v>0</v>
      </c>
    </row>
    <row r="26" spans="1:14" x14ac:dyDescent="0.25">
      <c r="A26" s="177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81">
        <f t="shared" si="0"/>
        <v>0</v>
      </c>
    </row>
    <row r="27" spans="1:14" x14ac:dyDescent="0.25">
      <c r="A27" s="177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81">
        <f t="shared" si="0"/>
        <v>0</v>
      </c>
    </row>
    <row r="28" spans="1:14" x14ac:dyDescent="0.25">
      <c r="A28" s="177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81">
        <f t="shared" si="0"/>
        <v>0</v>
      </c>
    </row>
    <row r="29" spans="1:14" x14ac:dyDescent="0.25">
      <c r="A29" s="177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81">
        <f t="shared" si="0"/>
        <v>0</v>
      </c>
    </row>
    <row r="30" spans="1:14" x14ac:dyDescent="0.25">
      <c r="A30" s="177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81">
        <f t="shared" si="0"/>
        <v>0</v>
      </c>
    </row>
    <row r="31" spans="1:14" x14ac:dyDescent="0.25">
      <c r="A31" s="177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81">
        <f t="shared" si="0"/>
        <v>0</v>
      </c>
    </row>
    <row r="32" spans="1:14" x14ac:dyDescent="0.25">
      <c r="A32" s="177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81">
        <f t="shared" si="0"/>
        <v>0</v>
      </c>
    </row>
    <row r="33" spans="1:14" x14ac:dyDescent="0.25">
      <c r="A33" s="177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81">
        <f t="shared" si="0"/>
        <v>0</v>
      </c>
    </row>
    <row r="34" spans="1:14" x14ac:dyDescent="0.25">
      <c r="A34" s="177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81">
        <f t="shared" si="0"/>
        <v>0</v>
      </c>
    </row>
    <row r="35" spans="1:14" x14ac:dyDescent="0.25">
      <c r="A35" s="177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81">
        <f t="shared" si="0"/>
        <v>0</v>
      </c>
    </row>
    <row r="36" spans="1:14" x14ac:dyDescent="0.25">
      <c r="A36" s="177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81">
        <f t="shared" si="0"/>
        <v>0</v>
      </c>
    </row>
    <row r="37" spans="1:14" x14ac:dyDescent="0.25">
      <c r="A37" s="177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81">
        <f t="shared" si="0"/>
        <v>0</v>
      </c>
    </row>
    <row r="38" spans="1:14" x14ac:dyDescent="0.25">
      <c r="A38" s="177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81">
        <f t="shared" si="0"/>
        <v>0</v>
      </c>
    </row>
    <row r="39" spans="1:14" x14ac:dyDescent="0.25">
      <c r="A39" s="177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81">
        <f t="shared" si="0"/>
        <v>0</v>
      </c>
    </row>
    <row r="40" spans="1:14" x14ac:dyDescent="0.25">
      <c r="A40" s="177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81">
        <f t="shared" ref="N40:N61" si="1">SUM(B40:M40)</f>
        <v>0</v>
      </c>
    </row>
    <row r="41" spans="1:14" x14ac:dyDescent="0.25">
      <c r="A41" s="177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81">
        <f t="shared" si="1"/>
        <v>0</v>
      </c>
    </row>
    <row r="42" spans="1:14" x14ac:dyDescent="0.25">
      <c r="A42" s="177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81">
        <f t="shared" si="1"/>
        <v>0</v>
      </c>
    </row>
    <row r="43" spans="1:14" x14ac:dyDescent="0.25">
      <c r="A43" s="177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81">
        <f t="shared" si="1"/>
        <v>0</v>
      </c>
    </row>
    <row r="44" spans="1:14" x14ac:dyDescent="0.25">
      <c r="A44" s="177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81">
        <f t="shared" si="1"/>
        <v>0</v>
      </c>
    </row>
    <row r="45" spans="1:14" x14ac:dyDescent="0.25">
      <c r="A45" s="177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81">
        <f t="shared" si="1"/>
        <v>0</v>
      </c>
    </row>
    <row r="46" spans="1:14" x14ac:dyDescent="0.25">
      <c r="A46" s="177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81">
        <f t="shared" si="1"/>
        <v>0</v>
      </c>
    </row>
    <row r="47" spans="1:14" x14ac:dyDescent="0.25">
      <c r="A47" s="177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81">
        <f t="shared" si="1"/>
        <v>0</v>
      </c>
    </row>
    <row r="48" spans="1:14" x14ac:dyDescent="0.25">
      <c r="A48" s="177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81">
        <f t="shared" si="1"/>
        <v>0</v>
      </c>
    </row>
    <row r="49" spans="1:14" x14ac:dyDescent="0.25">
      <c r="A49" s="177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81">
        <f t="shared" si="1"/>
        <v>0</v>
      </c>
    </row>
    <row r="50" spans="1:14" x14ac:dyDescent="0.25">
      <c r="A50" s="177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81">
        <f t="shared" si="1"/>
        <v>0</v>
      </c>
    </row>
    <row r="51" spans="1:14" x14ac:dyDescent="0.25">
      <c r="A51" s="177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81">
        <f t="shared" si="1"/>
        <v>0</v>
      </c>
    </row>
    <row r="52" spans="1:14" x14ac:dyDescent="0.25">
      <c r="A52" s="177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81">
        <f t="shared" si="1"/>
        <v>0</v>
      </c>
    </row>
    <row r="53" spans="1:14" x14ac:dyDescent="0.25">
      <c r="A53" s="177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81">
        <f t="shared" si="1"/>
        <v>0</v>
      </c>
    </row>
    <row r="54" spans="1:14" x14ac:dyDescent="0.25">
      <c r="A54" s="177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81">
        <f t="shared" si="1"/>
        <v>0</v>
      </c>
    </row>
    <row r="55" spans="1:14" x14ac:dyDescent="0.25">
      <c r="A55" s="177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81">
        <f t="shared" si="1"/>
        <v>0</v>
      </c>
    </row>
    <row r="56" spans="1:14" x14ac:dyDescent="0.25">
      <c r="A56" s="177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81">
        <f t="shared" si="1"/>
        <v>0</v>
      </c>
    </row>
    <row r="57" spans="1:14" x14ac:dyDescent="0.25">
      <c r="A57" s="177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81">
        <f t="shared" si="1"/>
        <v>0</v>
      </c>
    </row>
    <row r="58" spans="1:14" x14ac:dyDescent="0.25">
      <c r="A58" s="177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81">
        <f t="shared" si="1"/>
        <v>0</v>
      </c>
    </row>
    <row r="59" spans="1:14" x14ac:dyDescent="0.25">
      <c r="A59" s="177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81">
        <f t="shared" si="1"/>
        <v>0</v>
      </c>
    </row>
    <row r="60" spans="1:14" x14ac:dyDescent="0.25">
      <c r="A60" s="177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81">
        <f t="shared" si="1"/>
        <v>0</v>
      </c>
    </row>
    <row r="61" spans="1:14" x14ac:dyDescent="0.25">
      <c r="A61" s="177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81">
        <f t="shared" si="1"/>
        <v>0</v>
      </c>
    </row>
    <row r="62" spans="1:14" x14ac:dyDescent="0.25">
      <c r="A62" s="133" t="s">
        <v>90</v>
      </c>
      <c r="B62" s="186">
        <f t="shared" ref="B62:N62" si="2">SUM(B3:B61)</f>
        <v>82340</v>
      </c>
      <c r="C62" s="186">
        <f t="shared" si="2"/>
        <v>0</v>
      </c>
      <c r="D62" s="186">
        <f t="shared" si="2"/>
        <v>0</v>
      </c>
      <c r="E62" s="186">
        <f t="shared" si="2"/>
        <v>0</v>
      </c>
      <c r="F62" s="186">
        <f t="shared" si="2"/>
        <v>0</v>
      </c>
      <c r="G62" s="186">
        <f t="shared" si="2"/>
        <v>0</v>
      </c>
      <c r="H62" s="186">
        <f>SUM(H3:H61)</f>
        <v>0</v>
      </c>
      <c r="I62" s="186">
        <f t="shared" si="2"/>
        <v>0</v>
      </c>
      <c r="J62" s="186">
        <f t="shared" si="2"/>
        <v>0</v>
      </c>
      <c r="K62" s="186">
        <f t="shared" si="2"/>
        <v>0</v>
      </c>
      <c r="L62" s="186">
        <f t="shared" si="2"/>
        <v>0</v>
      </c>
      <c r="M62" s="186">
        <f t="shared" si="2"/>
        <v>0</v>
      </c>
      <c r="N62" s="186">
        <f t="shared" si="2"/>
        <v>82340</v>
      </c>
    </row>
    <row r="64" spans="1:14" x14ac:dyDescent="0.25">
      <c r="N64" s="202">
        <f>SUM(B62:M62)-N62</f>
        <v>0</v>
      </c>
    </row>
  </sheetData>
  <phoneticPr fontId="23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42949672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57"/>
  <sheetViews>
    <sheetView workbookViewId="0">
      <selection activeCell="O4" sqref="O4"/>
    </sheetView>
  </sheetViews>
  <sheetFormatPr defaultRowHeight="15" x14ac:dyDescent="0.25"/>
  <cols>
    <col min="1" max="1" width="34.42578125" customWidth="1"/>
    <col min="3" max="3" width="10.28515625" bestFit="1" customWidth="1"/>
    <col min="4" max="8" width="10.28515625" customWidth="1"/>
    <col min="9" max="10" width="10.28515625" bestFit="1" customWidth="1"/>
    <col min="11" max="11" width="10.42578125" bestFit="1" customWidth="1"/>
    <col min="12" max="12" width="9.28515625" bestFit="1" customWidth="1"/>
    <col min="14" max="14" width="12.85546875" bestFit="1" customWidth="1"/>
    <col min="18" max="18" width="10.28515625" bestFit="1" customWidth="1"/>
  </cols>
  <sheetData>
    <row r="1" spans="1:14" x14ac:dyDescent="0.25">
      <c r="A1" s="155" t="s">
        <v>108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78" t="s">
        <v>9</v>
      </c>
      <c r="C2" s="172" t="s">
        <v>14</v>
      </c>
      <c r="D2" s="178" t="s">
        <v>15</v>
      </c>
      <c r="E2" s="172" t="s">
        <v>16</v>
      </c>
      <c r="F2" s="178" t="s">
        <v>17</v>
      </c>
      <c r="G2" s="172" t="s">
        <v>18</v>
      </c>
      <c r="H2" s="178" t="s">
        <v>19</v>
      </c>
      <c r="I2" s="172" t="s">
        <v>4</v>
      </c>
      <c r="J2" s="178" t="s">
        <v>5</v>
      </c>
      <c r="K2" s="172" t="s">
        <v>6</v>
      </c>
      <c r="L2" s="178" t="s">
        <v>7</v>
      </c>
      <c r="M2" s="172" t="s">
        <v>8</v>
      </c>
      <c r="N2" s="152"/>
    </row>
    <row r="3" spans="1:14" x14ac:dyDescent="0.25">
      <c r="A3" s="177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>
        <f t="shared" ref="N3:N54" si="0">SUM(B3:M3)</f>
        <v>0</v>
      </c>
    </row>
    <row r="4" spans="1:14" s="333" customFormat="1" ht="14.25" x14ac:dyDescent="0.2">
      <c r="A4" s="339"/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>
        <f t="shared" ref="N4:N6" si="1">SUM(B4:M4)</f>
        <v>0</v>
      </c>
    </row>
    <row r="5" spans="1:14" s="333" customFormat="1" ht="14.25" x14ac:dyDescent="0.2">
      <c r="A5" s="339"/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  <c r="M5" s="338"/>
      <c r="N5" s="338">
        <f t="shared" si="1"/>
        <v>0</v>
      </c>
    </row>
    <row r="6" spans="1:14" s="333" customFormat="1" ht="14.25" x14ac:dyDescent="0.2">
      <c r="A6" s="339"/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>
        <f t="shared" si="1"/>
        <v>0</v>
      </c>
    </row>
    <row r="7" spans="1:14" s="333" customFormat="1" ht="14.25" x14ac:dyDescent="0.2">
      <c r="A7" s="339"/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>
        <f>SUM(B7:M7)</f>
        <v>0</v>
      </c>
    </row>
    <row r="8" spans="1:14" x14ac:dyDescent="0.25">
      <c r="A8" s="165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344">
        <f>SUM(B8:M8)</f>
        <v>0</v>
      </c>
    </row>
    <row r="9" spans="1:14" x14ac:dyDescent="0.25">
      <c r="A9" s="152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>
        <f t="shared" si="0"/>
        <v>0</v>
      </c>
    </row>
    <row r="10" spans="1:14" x14ac:dyDescent="0.25">
      <c r="A10" s="152"/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>
        <f t="shared" si="0"/>
        <v>0</v>
      </c>
    </row>
    <row r="11" spans="1:14" x14ac:dyDescent="0.25">
      <c r="A11" s="314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>
        <f t="shared" si="0"/>
        <v>0</v>
      </c>
    </row>
    <row r="12" spans="1:14" x14ac:dyDescent="0.25">
      <c r="A12" s="314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>
        <f t="shared" si="0"/>
        <v>0</v>
      </c>
    </row>
    <row r="13" spans="1:14" x14ac:dyDescent="0.25">
      <c r="A13" s="314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>
        <f t="shared" si="0"/>
        <v>0</v>
      </c>
    </row>
    <row r="14" spans="1:14" x14ac:dyDescent="0.25">
      <c r="A14" s="152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>
        <f t="shared" si="0"/>
        <v>0</v>
      </c>
    </row>
    <row r="15" spans="1:14" x14ac:dyDescent="0.25">
      <c r="A15" s="350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>
        <f t="shared" si="0"/>
        <v>0</v>
      </c>
    </row>
    <row r="16" spans="1:14" x14ac:dyDescent="0.25">
      <c r="A16" s="152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>
        <f t="shared" si="0"/>
        <v>0</v>
      </c>
    </row>
    <row r="17" spans="1:14" x14ac:dyDescent="0.25">
      <c r="A17" s="315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>
        <f t="shared" si="0"/>
        <v>0</v>
      </c>
    </row>
    <row r="18" spans="1:14" x14ac:dyDescent="0.25">
      <c r="A18" s="177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313">
        <f t="shared" si="0"/>
        <v>0</v>
      </c>
    </row>
    <row r="19" spans="1:14" x14ac:dyDescent="0.25">
      <c r="A19" s="174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>
        <f t="shared" si="0"/>
        <v>0</v>
      </c>
    </row>
    <row r="20" spans="1:14" hidden="1" x14ac:dyDescent="0.25">
      <c r="A20" s="174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>
        <f t="shared" si="0"/>
        <v>0</v>
      </c>
    </row>
    <row r="21" spans="1:14" hidden="1" x14ac:dyDescent="0.25">
      <c r="A21" s="174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>
        <f t="shared" si="0"/>
        <v>0</v>
      </c>
    </row>
    <row r="22" spans="1:14" hidden="1" x14ac:dyDescent="0.25">
      <c r="A22" s="174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>
        <f t="shared" si="0"/>
        <v>0</v>
      </c>
    </row>
    <row r="23" spans="1:14" hidden="1" x14ac:dyDescent="0.25">
      <c r="A23" s="174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>
        <f t="shared" si="0"/>
        <v>0</v>
      </c>
    </row>
    <row r="24" spans="1:14" hidden="1" x14ac:dyDescent="0.25">
      <c r="A24" s="174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>
        <f t="shared" si="0"/>
        <v>0</v>
      </c>
    </row>
    <row r="25" spans="1:14" hidden="1" x14ac:dyDescent="0.25">
      <c r="A25" s="174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>
        <f t="shared" si="0"/>
        <v>0</v>
      </c>
    </row>
    <row r="26" spans="1:14" hidden="1" x14ac:dyDescent="0.25">
      <c r="A26" s="174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>
        <f t="shared" si="0"/>
        <v>0</v>
      </c>
    </row>
    <row r="27" spans="1:14" hidden="1" x14ac:dyDescent="0.25">
      <c r="A27" s="174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>
        <f t="shared" si="0"/>
        <v>0</v>
      </c>
    </row>
    <row r="28" spans="1:14" hidden="1" x14ac:dyDescent="0.25">
      <c r="A28" s="174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>
        <f t="shared" si="0"/>
        <v>0</v>
      </c>
    </row>
    <row r="29" spans="1:14" hidden="1" x14ac:dyDescent="0.25">
      <c r="A29" s="174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>
        <f t="shared" si="0"/>
        <v>0</v>
      </c>
    </row>
    <row r="30" spans="1:14" hidden="1" x14ac:dyDescent="0.25">
      <c r="A30" s="174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>
        <f t="shared" si="0"/>
        <v>0</v>
      </c>
    </row>
    <row r="31" spans="1:14" hidden="1" x14ac:dyDescent="0.25">
      <c r="A31" s="174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>
        <f t="shared" si="0"/>
        <v>0</v>
      </c>
    </row>
    <row r="32" spans="1:14" hidden="1" x14ac:dyDescent="0.25">
      <c r="A32" s="174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>
        <f t="shared" si="0"/>
        <v>0</v>
      </c>
    </row>
    <row r="33" spans="1:14" hidden="1" x14ac:dyDescent="0.25">
      <c r="A33" s="174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>
        <f t="shared" si="0"/>
        <v>0</v>
      </c>
    </row>
    <row r="34" spans="1:14" hidden="1" x14ac:dyDescent="0.25">
      <c r="A34" s="174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>
        <f t="shared" si="0"/>
        <v>0</v>
      </c>
    </row>
    <row r="35" spans="1:14" hidden="1" x14ac:dyDescent="0.25">
      <c r="A35" s="174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>
        <f t="shared" si="0"/>
        <v>0</v>
      </c>
    </row>
    <row r="36" spans="1:14" hidden="1" x14ac:dyDescent="0.25">
      <c r="A36" s="174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>
        <f t="shared" si="0"/>
        <v>0</v>
      </c>
    </row>
    <row r="37" spans="1:14" hidden="1" x14ac:dyDescent="0.25">
      <c r="A37" s="174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>
        <f t="shared" si="0"/>
        <v>0</v>
      </c>
    </row>
    <row r="38" spans="1:14" hidden="1" x14ac:dyDescent="0.25">
      <c r="A38" s="174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>
        <f t="shared" si="0"/>
        <v>0</v>
      </c>
    </row>
    <row r="39" spans="1:14" hidden="1" x14ac:dyDescent="0.25">
      <c r="A39" s="174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>
        <f t="shared" si="0"/>
        <v>0</v>
      </c>
    </row>
    <row r="40" spans="1:14" hidden="1" x14ac:dyDescent="0.25">
      <c r="A40" s="174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>
        <f t="shared" si="0"/>
        <v>0</v>
      </c>
    </row>
    <row r="41" spans="1:14" hidden="1" x14ac:dyDescent="0.25">
      <c r="A41" s="174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>
        <f t="shared" si="0"/>
        <v>0</v>
      </c>
    </row>
    <row r="42" spans="1:14" hidden="1" x14ac:dyDescent="0.25">
      <c r="A42" s="152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313">
        <f t="shared" si="0"/>
        <v>0</v>
      </c>
    </row>
    <row r="43" spans="1:14" hidden="1" x14ac:dyDescent="0.25">
      <c r="A43" s="152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>
        <f t="shared" si="0"/>
        <v>0</v>
      </c>
    </row>
    <row r="44" spans="1:14" hidden="1" x14ac:dyDescent="0.25">
      <c r="A44" s="316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>
        <f t="shared" si="0"/>
        <v>0</v>
      </c>
    </row>
    <row r="45" spans="1:14" hidden="1" x14ac:dyDescent="0.25">
      <c r="A45" s="174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>
        <f t="shared" si="0"/>
        <v>0</v>
      </c>
    </row>
    <row r="46" spans="1:14" hidden="1" x14ac:dyDescent="0.25">
      <c r="A46" s="316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>
        <f t="shared" si="0"/>
        <v>0</v>
      </c>
    </row>
    <row r="47" spans="1:14" hidden="1" x14ac:dyDescent="0.25">
      <c r="A47" s="152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>
        <f t="shared" si="0"/>
        <v>0</v>
      </c>
    </row>
    <row r="48" spans="1:14" hidden="1" x14ac:dyDescent="0.25">
      <c r="A48" s="152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>
        <f t="shared" si="0"/>
        <v>0</v>
      </c>
    </row>
    <row r="49" spans="1:14" hidden="1" x14ac:dyDescent="0.25">
      <c r="A49" s="152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>
        <f t="shared" si="0"/>
        <v>0</v>
      </c>
    </row>
    <row r="50" spans="1:14" hidden="1" x14ac:dyDescent="0.25">
      <c r="A50" s="152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>
        <f t="shared" si="0"/>
        <v>0</v>
      </c>
    </row>
    <row r="51" spans="1:14" hidden="1" x14ac:dyDescent="0.25">
      <c r="A51" s="152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>
        <f t="shared" si="0"/>
        <v>0</v>
      </c>
    </row>
    <row r="52" spans="1:14" hidden="1" x14ac:dyDescent="0.25">
      <c r="A52" s="152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>
        <f t="shared" si="0"/>
        <v>0</v>
      </c>
    </row>
    <row r="53" spans="1:14" x14ac:dyDescent="0.25">
      <c r="A53" s="314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>
        <f t="shared" si="0"/>
        <v>0</v>
      </c>
    </row>
    <row r="54" spans="1:14" x14ac:dyDescent="0.25">
      <c r="A54" s="359"/>
      <c r="B54" s="182"/>
      <c r="C54" s="182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79">
        <f t="shared" si="0"/>
        <v>0</v>
      </c>
    </row>
    <row r="55" spans="1:14" x14ac:dyDescent="0.25">
      <c r="A55" s="155" t="s">
        <v>90</v>
      </c>
      <c r="B55" s="166">
        <f>SUM(B3:B54)</f>
        <v>0</v>
      </c>
      <c r="C55" s="166">
        <f>SUM(C3:C54)</f>
        <v>0</v>
      </c>
      <c r="D55" s="166">
        <f t="shared" ref="D55:M55" si="2">SUM(D3:D54)</f>
        <v>0</v>
      </c>
      <c r="E55" s="166">
        <f t="shared" si="2"/>
        <v>0</v>
      </c>
      <c r="F55" s="166">
        <f t="shared" si="2"/>
        <v>0</v>
      </c>
      <c r="G55" s="166">
        <f t="shared" si="2"/>
        <v>0</v>
      </c>
      <c r="H55" s="166">
        <f t="shared" si="2"/>
        <v>0</v>
      </c>
      <c r="I55" s="166">
        <f t="shared" si="2"/>
        <v>0</v>
      </c>
      <c r="J55" s="166">
        <f t="shared" si="2"/>
        <v>0</v>
      </c>
      <c r="K55" s="166">
        <f t="shared" si="2"/>
        <v>0</v>
      </c>
      <c r="L55" s="166">
        <f t="shared" si="2"/>
        <v>0</v>
      </c>
      <c r="M55" s="166">
        <f t="shared" si="2"/>
        <v>0</v>
      </c>
      <c r="N55" s="166">
        <f>SUM(N3:N54)</f>
        <v>0</v>
      </c>
    </row>
    <row r="57" spans="1:14" x14ac:dyDescent="0.25">
      <c r="N57" s="160">
        <f>SUM(B55:M55)-N55</f>
        <v>0</v>
      </c>
    </row>
  </sheetData>
  <phoneticPr fontId="23" type="noConversion"/>
  <pageMargins left="0.25" right="0.25" top="0.75" bottom="0.75" header="0.3" footer="0.3"/>
  <pageSetup paperSize="9" scale="82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V74"/>
  <sheetViews>
    <sheetView tabSelected="1" view="pageBreakPreview" topLeftCell="A37" zoomScale="90" zoomScaleNormal="100" zoomScaleSheetLayoutView="90" workbookViewId="0">
      <selection activeCell="A58" sqref="A58:XFD66"/>
    </sheetView>
  </sheetViews>
  <sheetFormatPr defaultRowHeight="15" x14ac:dyDescent="0.25"/>
  <cols>
    <col min="1" max="1" width="37.28515625" style="284" customWidth="1"/>
    <col min="2" max="2" width="14.7109375" style="219" bestFit="1" customWidth="1"/>
    <col min="3" max="3" width="13.5703125" style="219" customWidth="1"/>
    <col min="4" max="4" width="13.7109375" style="214" bestFit="1" customWidth="1"/>
    <col min="5" max="6" width="14.140625" style="214" bestFit="1" customWidth="1"/>
    <col min="7" max="7" width="13.7109375" style="214" bestFit="1" customWidth="1"/>
    <col min="8" max="8" width="14.5703125" style="214" bestFit="1" customWidth="1"/>
    <col min="9" max="11" width="16.28515625" style="214" bestFit="1" customWidth="1"/>
    <col min="12" max="12" width="14.5703125" style="214" bestFit="1" customWidth="1"/>
    <col min="13" max="13" width="16.28515625" style="214" bestFit="1" customWidth="1"/>
    <col min="14" max="14" width="15.85546875" style="214" customWidth="1"/>
    <col min="15" max="15" width="14" style="214" customWidth="1"/>
    <col min="16" max="16" width="14.7109375" style="219" customWidth="1"/>
    <col min="17" max="17" width="15.28515625" style="219" customWidth="1"/>
    <col min="18" max="18" width="16" style="219" bestFit="1" customWidth="1"/>
    <col min="19" max="19" width="15.5703125" style="215" bestFit="1" customWidth="1"/>
    <col min="20" max="16384" width="9.140625" style="215"/>
  </cols>
  <sheetData>
    <row r="1" spans="1:19" ht="18" customHeight="1" x14ac:dyDescent="0.35">
      <c r="A1" s="299" t="s">
        <v>52</v>
      </c>
      <c r="B1" s="300" t="s">
        <v>138</v>
      </c>
      <c r="C1" s="214"/>
      <c r="P1" s="214"/>
      <c r="Q1" s="214"/>
      <c r="R1" s="214"/>
    </row>
    <row r="2" spans="1:19" ht="21" customHeight="1" x14ac:dyDescent="0.25">
      <c r="A2" s="216" t="s">
        <v>139</v>
      </c>
      <c r="B2" s="217"/>
      <c r="C2" s="218"/>
      <c r="D2" s="218"/>
      <c r="E2" s="218"/>
      <c r="F2" s="218"/>
      <c r="G2" s="218"/>
      <c r="H2" s="218"/>
      <c r="I2" s="352"/>
      <c r="J2" s="218"/>
      <c r="K2" s="218"/>
      <c r="L2" s="218"/>
      <c r="M2" s="218"/>
      <c r="N2" s="218"/>
      <c r="O2" s="218"/>
      <c r="P2" s="218"/>
      <c r="Q2" s="219">
        <v>12</v>
      </c>
      <c r="R2" s="219" t="s">
        <v>53</v>
      </c>
    </row>
    <row r="3" spans="1:19" ht="37.5" customHeight="1" x14ac:dyDescent="0.3">
      <c r="A3" s="220" t="s">
        <v>1</v>
      </c>
      <c r="B3" s="310" t="s">
        <v>2</v>
      </c>
      <c r="C3" s="310" t="s">
        <v>54</v>
      </c>
      <c r="D3" s="311" t="s">
        <v>9</v>
      </c>
      <c r="E3" s="311" t="s">
        <v>14</v>
      </c>
      <c r="F3" s="311" t="s">
        <v>15</v>
      </c>
      <c r="G3" s="311" t="s">
        <v>16</v>
      </c>
      <c r="H3" s="311" t="s">
        <v>17</v>
      </c>
      <c r="I3" s="311" t="s">
        <v>18</v>
      </c>
      <c r="J3" s="311" t="s">
        <v>19</v>
      </c>
      <c r="K3" s="311" t="s">
        <v>4</v>
      </c>
      <c r="L3" s="311" t="s">
        <v>5</v>
      </c>
      <c r="M3" s="311" t="s">
        <v>6</v>
      </c>
      <c r="N3" s="311" t="s">
        <v>7</v>
      </c>
      <c r="O3" s="311" t="s">
        <v>8</v>
      </c>
      <c r="P3" s="310" t="str">
        <f>CONCATENATE("Итого за ",Q2," мес.")</f>
        <v>Итого за 12 мес.</v>
      </c>
      <c r="Q3" s="310" t="str">
        <f>CONCATENATE("Бюджет          за ",Q2," мес.")</f>
        <v>Бюджет          за 12 мес.</v>
      </c>
      <c r="R3" s="312" t="s">
        <v>12</v>
      </c>
    </row>
    <row r="4" spans="1:19" ht="15" customHeight="1" x14ac:dyDescent="0.25">
      <c r="A4" s="222" t="s">
        <v>55</v>
      </c>
      <c r="B4" s="376">
        <v>2208884.1</v>
      </c>
      <c r="C4" s="224"/>
      <c r="D4" s="225">
        <f t="shared" ref="D4:O4" si="0">D5*100/$C$5</f>
        <v>77.365944653142151</v>
      </c>
      <c r="E4" s="225">
        <f t="shared" si="0"/>
        <v>130.40087194186796</v>
      </c>
      <c r="F4" s="225">
        <f t="shared" si="0"/>
        <v>0</v>
      </c>
      <c r="G4" s="225">
        <f t="shared" si="0"/>
        <v>0</v>
      </c>
      <c r="H4" s="225">
        <f t="shared" si="0"/>
        <v>0</v>
      </c>
      <c r="I4" s="225">
        <f t="shared" si="0"/>
        <v>0</v>
      </c>
      <c r="J4" s="225">
        <f t="shared" si="0"/>
        <v>0</v>
      </c>
      <c r="K4" s="225">
        <f t="shared" si="0"/>
        <v>0</v>
      </c>
      <c r="L4" s="225">
        <f t="shared" si="0"/>
        <v>0</v>
      </c>
      <c r="M4" s="225">
        <f t="shared" si="0"/>
        <v>0</v>
      </c>
      <c r="N4" s="225">
        <f t="shared" si="0"/>
        <v>0</v>
      </c>
      <c r="O4" s="225">
        <f t="shared" si="0"/>
        <v>0</v>
      </c>
      <c r="P4" s="224"/>
      <c r="Q4" s="226"/>
      <c r="R4" s="226"/>
    </row>
    <row r="5" spans="1:19" ht="15.75" x14ac:dyDescent="0.25">
      <c r="A5" s="222" t="s">
        <v>56</v>
      </c>
      <c r="B5" s="223">
        <v>49340904</v>
      </c>
      <c r="C5" s="227">
        <f>B5/12</f>
        <v>4111742</v>
      </c>
      <c r="D5" s="229">
        <f>3218624.04-37536</f>
        <v>3181088.04</v>
      </c>
      <c r="E5" s="229">
        <f>5781336.42-81079-338510</f>
        <v>5361747.42</v>
      </c>
      <c r="F5" s="228"/>
      <c r="G5" s="230"/>
      <c r="H5" s="230"/>
      <c r="I5" s="228"/>
      <c r="J5" s="228"/>
      <c r="K5" s="228"/>
      <c r="L5" s="228"/>
      <c r="M5" s="228"/>
      <c r="N5" s="228"/>
      <c r="O5" s="230"/>
      <c r="P5" s="231">
        <f>SUM(D5:O5)</f>
        <v>8542835.4600000009</v>
      </c>
      <c r="Q5" s="232">
        <f>C5*Q2</f>
        <v>49340904</v>
      </c>
      <c r="R5" s="233">
        <f>P5-Q5</f>
        <v>-40798068.539999999</v>
      </c>
    </row>
    <row r="6" spans="1:19" ht="15.75" x14ac:dyDescent="0.25">
      <c r="A6" s="222" t="s">
        <v>114</v>
      </c>
      <c r="B6" s="234"/>
      <c r="C6" s="235"/>
      <c r="D6" s="229">
        <v>100000</v>
      </c>
      <c r="E6" s="229"/>
      <c r="F6" s="228"/>
      <c r="G6" s="230"/>
      <c r="H6" s="228"/>
      <c r="I6" s="228"/>
      <c r="J6" s="228"/>
      <c r="K6" s="228"/>
      <c r="L6" s="228"/>
      <c r="M6" s="228"/>
      <c r="N6" s="228"/>
      <c r="O6" s="230"/>
      <c r="P6" s="231">
        <f>SUM(D6:O6)</f>
        <v>100000</v>
      </c>
      <c r="Q6" s="236"/>
      <c r="R6" s="233">
        <f t="shared" ref="R6:R8" si="1">P6-Q6</f>
        <v>100000</v>
      </c>
    </row>
    <row r="7" spans="1:19" ht="15.75" x14ac:dyDescent="0.25">
      <c r="A7" s="222" t="s">
        <v>120</v>
      </c>
      <c r="B7" s="307">
        <v>1100000</v>
      </c>
      <c r="C7" s="308">
        <f>B7/12</f>
        <v>91666.666666666672</v>
      </c>
      <c r="D7" s="229">
        <v>68150</v>
      </c>
      <c r="E7" s="228">
        <v>78000</v>
      </c>
      <c r="F7" s="228"/>
      <c r="G7" s="228"/>
      <c r="H7" s="228"/>
      <c r="I7" s="228"/>
      <c r="J7" s="228"/>
      <c r="K7" s="228"/>
      <c r="L7" s="228"/>
      <c r="M7" s="228"/>
      <c r="N7" s="228"/>
      <c r="O7" s="230"/>
      <c r="P7" s="231">
        <f t="shared" ref="P7:P12" si="2">SUM(D7:O7)</f>
        <v>146150</v>
      </c>
      <c r="Q7" s="309">
        <f>C7*Q2</f>
        <v>1100000</v>
      </c>
      <c r="R7" s="233">
        <f t="shared" si="1"/>
        <v>-953850</v>
      </c>
    </row>
    <row r="8" spans="1:19" ht="31.5" x14ac:dyDescent="0.25">
      <c r="A8" s="237" t="s">
        <v>125</v>
      </c>
      <c r="B8" s="238">
        <v>1060000</v>
      </c>
      <c r="C8" s="239">
        <f>B8/12</f>
        <v>88333.333333333328</v>
      </c>
      <c r="D8" s="240">
        <f>37536+40000+20000</f>
        <v>97536</v>
      </c>
      <c r="E8" s="240">
        <f>81079+40000+40000+20000</f>
        <v>181079</v>
      </c>
      <c r="F8" s="240"/>
      <c r="G8" s="240"/>
      <c r="H8" s="240"/>
      <c r="I8" s="240"/>
      <c r="J8" s="240"/>
      <c r="K8" s="240"/>
      <c r="L8" s="240"/>
      <c r="M8" s="240"/>
      <c r="N8" s="240"/>
      <c r="O8" s="241"/>
      <c r="P8" s="242">
        <f t="shared" si="2"/>
        <v>278615</v>
      </c>
      <c r="Q8" s="243">
        <f>C8*Q2</f>
        <v>1060000</v>
      </c>
      <c r="R8" s="358">
        <f t="shared" si="1"/>
        <v>-781385</v>
      </c>
    </row>
    <row r="9" spans="1:19" ht="15.75" x14ac:dyDescent="0.25">
      <c r="A9" s="237" t="s">
        <v>127</v>
      </c>
      <c r="B9" s="245"/>
      <c r="C9" s="245"/>
      <c r="D9" s="240">
        <v>16200</v>
      </c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1"/>
      <c r="P9" s="231">
        <f t="shared" si="2"/>
        <v>16200</v>
      </c>
      <c r="Q9" s="243"/>
      <c r="R9" s="213"/>
    </row>
    <row r="10" spans="1:19" ht="15.75" x14ac:dyDescent="0.25">
      <c r="A10" s="244" t="s">
        <v>106</v>
      </c>
      <c r="B10" s="245"/>
      <c r="C10" s="245"/>
      <c r="D10" s="246">
        <v>2795</v>
      </c>
      <c r="E10" s="246">
        <f>13991.77+2795+13900.16</f>
        <v>30686.93</v>
      </c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31">
        <f t="shared" si="2"/>
        <v>33481.93</v>
      </c>
      <c r="Q10" s="246"/>
      <c r="R10" s="215"/>
    </row>
    <row r="11" spans="1:19" ht="15.75" x14ac:dyDescent="0.25">
      <c r="A11" s="244" t="s">
        <v>118</v>
      </c>
      <c r="B11" s="245"/>
      <c r="C11" s="245"/>
      <c r="D11" s="246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31">
        <f t="shared" si="2"/>
        <v>0</v>
      </c>
      <c r="Q11" s="246"/>
      <c r="R11" s="215"/>
    </row>
    <row r="12" spans="1:19" ht="15.75" x14ac:dyDescent="0.25">
      <c r="A12" s="244" t="s">
        <v>117</v>
      </c>
      <c r="B12" s="245"/>
      <c r="C12" s="245"/>
      <c r="D12" s="246">
        <v>3040</v>
      </c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31">
        <f t="shared" si="2"/>
        <v>3040</v>
      </c>
      <c r="Q12" s="246"/>
      <c r="R12" s="215"/>
    </row>
    <row r="13" spans="1:19" ht="15.75" x14ac:dyDescent="0.25">
      <c r="A13" s="417" t="s">
        <v>187</v>
      </c>
      <c r="B13" s="418"/>
      <c r="C13" s="418"/>
      <c r="D13" s="419"/>
      <c r="E13" s="419">
        <v>45000</v>
      </c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250"/>
      <c r="Q13" s="251"/>
      <c r="R13" s="215"/>
    </row>
    <row r="14" spans="1:19" ht="16.5" thickBot="1" x14ac:dyDescent="0.3">
      <c r="A14" s="247" t="s">
        <v>119</v>
      </c>
      <c r="B14" s="248"/>
      <c r="C14" s="248"/>
      <c r="D14" s="249">
        <f>D53-D54</f>
        <v>1900</v>
      </c>
      <c r="E14" s="249">
        <f>E53-E54</f>
        <v>-33300</v>
      </c>
      <c r="F14" s="249">
        <f>F53-F54</f>
        <v>0</v>
      </c>
      <c r="G14" s="249">
        <f t="shared" ref="G14:H14" si="3">G53-G54</f>
        <v>0</v>
      </c>
      <c r="H14" s="249">
        <f t="shared" si="3"/>
        <v>0</v>
      </c>
      <c r="I14" s="249">
        <f>I53-I54</f>
        <v>0</v>
      </c>
      <c r="J14" s="249">
        <f t="shared" ref="J14:O14" si="4">J53-J54</f>
        <v>0</v>
      </c>
      <c r="K14" s="249">
        <f t="shared" si="4"/>
        <v>0</v>
      </c>
      <c r="L14" s="249">
        <f t="shared" si="4"/>
        <v>0</v>
      </c>
      <c r="M14" s="249">
        <f t="shared" si="4"/>
        <v>0</v>
      </c>
      <c r="N14" s="249">
        <f t="shared" si="4"/>
        <v>0</v>
      </c>
      <c r="O14" s="249">
        <f t="shared" si="4"/>
        <v>0</v>
      </c>
      <c r="P14" s="250"/>
      <c r="Q14" s="251"/>
      <c r="R14" s="215"/>
    </row>
    <row r="15" spans="1:19" ht="15.75" x14ac:dyDescent="0.25">
      <c r="A15" s="252" t="s">
        <v>57</v>
      </c>
      <c r="B15" s="253">
        <f>SUM(B5:B12)</f>
        <v>51500904</v>
      </c>
      <c r="C15" s="254">
        <f>SUM(C5:C12)</f>
        <v>4291742</v>
      </c>
      <c r="D15" s="255">
        <f t="shared" ref="D15:H15" si="5">SUM(D5:D14)</f>
        <v>3470709.04</v>
      </c>
      <c r="E15" s="255">
        <f>SUM(E5:E14)</f>
        <v>5663213.3499999996</v>
      </c>
      <c r="F15" s="255">
        <f t="shared" si="5"/>
        <v>0</v>
      </c>
      <c r="G15" s="255">
        <f t="shared" si="5"/>
        <v>0</v>
      </c>
      <c r="H15" s="255">
        <f t="shared" si="5"/>
        <v>0</v>
      </c>
      <c r="I15" s="255">
        <f>SUM(I5:I14)</f>
        <v>0</v>
      </c>
      <c r="J15" s="255">
        <f t="shared" ref="J15:O15" si="6">SUM(J5:J14)</f>
        <v>0</v>
      </c>
      <c r="K15" s="255">
        <f t="shared" si="6"/>
        <v>0</v>
      </c>
      <c r="L15" s="255">
        <f t="shared" si="6"/>
        <v>0</v>
      </c>
      <c r="M15" s="255">
        <f t="shared" si="6"/>
        <v>0</v>
      </c>
      <c r="N15" s="255">
        <f t="shared" si="6"/>
        <v>0</v>
      </c>
      <c r="O15" s="255">
        <f t="shared" si="6"/>
        <v>0</v>
      </c>
      <c r="P15" s="256">
        <f>SUM(D15:O15)</f>
        <v>9133922.3900000006</v>
      </c>
      <c r="Q15" s="257">
        <f>SUM(Q5:Q12)</f>
        <v>51500904</v>
      </c>
      <c r="R15" s="258">
        <f>P15-Q15</f>
        <v>-42366981.609999999</v>
      </c>
      <c r="S15" s="259"/>
    </row>
    <row r="16" spans="1:19" ht="15.75" x14ac:dyDescent="0.25">
      <c r="A16" s="252" t="s">
        <v>58</v>
      </c>
      <c r="B16" s="223">
        <f>B15+B4</f>
        <v>53709788.100000001</v>
      </c>
      <c r="C16" s="260"/>
      <c r="D16" s="209"/>
      <c r="E16" s="209"/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60"/>
      <c r="Q16" s="260"/>
      <c r="R16" s="260"/>
      <c r="S16" s="259"/>
    </row>
    <row r="17" spans="1:22" ht="33" customHeight="1" x14ac:dyDescent="0.3">
      <c r="A17" s="261" t="s">
        <v>26</v>
      </c>
      <c r="B17" s="262"/>
      <c r="C17" s="263"/>
      <c r="D17" s="303"/>
      <c r="E17" s="303"/>
      <c r="F17" s="303"/>
      <c r="G17" s="303"/>
      <c r="H17" s="303"/>
      <c r="I17" s="349"/>
      <c r="J17" s="303"/>
      <c r="K17" s="303"/>
      <c r="L17" s="303"/>
      <c r="M17" s="303"/>
      <c r="N17" s="303"/>
      <c r="O17" s="303"/>
      <c r="P17" s="263"/>
      <c r="Q17" s="264"/>
      <c r="R17" s="265" t="s">
        <v>27</v>
      </c>
    </row>
    <row r="18" spans="1:22" ht="15.75" x14ac:dyDescent="0.25">
      <c r="A18" s="266" t="s">
        <v>28</v>
      </c>
      <c r="B18" s="223">
        <v>1000000</v>
      </c>
      <c r="C18" s="227">
        <f t="shared" ref="C18:C36" si="7">B18/12</f>
        <v>83333.333333333328</v>
      </c>
      <c r="D18" s="321">
        <f>'общехоз расходы'!B101</f>
        <v>86243.06</v>
      </c>
      <c r="E18" s="321">
        <f>'общехоз расходы'!C101</f>
        <v>50813.47</v>
      </c>
      <c r="F18" s="321">
        <f>'общехоз расходы'!D101</f>
        <v>0</v>
      </c>
      <c r="G18" s="321">
        <f>'общехоз расходы'!E101</f>
        <v>0</v>
      </c>
      <c r="H18" s="321">
        <f>'общехоз расходы'!F101</f>
        <v>0</v>
      </c>
      <c r="I18" s="321">
        <f>'общехоз расходы'!G101</f>
        <v>0</v>
      </c>
      <c r="J18" s="321">
        <f>'общехоз расходы'!H101</f>
        <v>0</v>
      </c>
      <c r="K18" s="321">
        <f>'общехоз расходы'!I101</f>
        <v>0</v>
      </c>
      <c r="L18" s="321">
        <f>'общехоз расходы'!J101</f>
        <v>0</v>
      </c>
      <c r="M18" s="321">
        <f>'общехоз расходы'!K101</f>
        <v>0</v>
      </c>
      <c r="N18" s="321">
        <f>'общехоз расходы'!L101</f>
        <v>0</v>
      </c>
      <c r="O18" s="321">
        <f>'общехоз расходы'!M101</f>
        <v>0</v>
      </c>
      <c r="P18" s="250">
        <f t="shared" ref="P18:P36" si="8">SUM(D18:O18)</f>
        <v>137056.53</v>
      </c>
      <c r="Q18" s="232">
        <f t="shared" ref="Q18:Q30" si="9">C18*$Q$2</f>
        <v>1000000</v>
      </c>
      <c r="R18" s="268">
        <f>Q18-P18</f>
        <v>862943.47</v>
      </c>
    </row>
    <row r="19" spans="1:22" ht="15.75" x14ac:dyDescent="0.25">
      <c r="A19" s="221" t="s">
        <v>29</v>
      </c>
      <c r="B19" s="253">
        <v>80000</v>
      </c>
      <c r="C19" s="227">
        <f t="shared" si="7"/>
        <v>6666.666666666667</v>
      </c>
      <c r="D19" s="322">
        <f>'прогр обесп'!B10</f>
        <v>17000</v>
      </c>
      <c r="E19" s="322">
        <f>'прогр обесп'!C10</f>
        <v>12399</v>
      </c>
      <c r="F19" s="322">
        <f>'прогр обесп'!D10</f>
        <v>0</v>
      </c>
      <c r="G19" s="322">
        <f>'прогр обесп'!E10</f>
        <v>0</v>
      </c>
      <c r="H19" s="322">
        <f>'прогр обесп'!F10</f>
        <v>0</v>
      </c>
      <c r="I19" s="322">
        <f>'прогр обесп'!G10</f>
        <v>0</v>
      </c>
      <c r="J19" s="322">
        <f>'прогр обесп'!H10</f>
        <v>0</v>
      </c>
      <c r="K19" s="322">
        <f>'прогр обесп'!I10</f>
        <v>0</v>
      </c>
      <c r="L19" s="322">
        <f>'прогр обесп'!J10</f>
        <v>0</v>
      </c>
      <c r="M19" s="322">
        <f>'прогр обесп'!K10</f>
        <v>0</v>
      </c>
      <c r="N19" s="322">
        <f>'прогр обесп'!L10</f>
        <v>0</v>
      </c>
      <c r="O19" s="322">
        <f>'прогр обесп'!M10</f>
        <v>0</v>
      </c>
      <c r="P19" s="231">
        <f>SUM(D19:O19)</f>
        <v>29399</v>
      </c>
      <c r="Q19" s="232">
        <f t="shared" si="9"/>
        <v>80000</v>
      </c>
      <c r="R19" s="268">
        <f t="shared" ref="R19:R29" si="10">Q19-P19</f>
        <v>50601</v>
      </c>
    </row>
    <row r="20" spans="1:22" ht="15.75" x14ac:dyDescent="0.25">
      <c r="A20" s="266" t="s">
        <v>30</v>
      </c>
      <c r="B20" s="223">
        <v>110000</v>
      </c>
      <c r="C20" s="227">
        <f t="shared" si="7"/>
        <v>9166.6666666666661</v>
      </c>
      <c r="D20" s="321">
        <f>связь!B9</f>
        <v>6200</v>
      </c>
      <c r="E20" s="321">
        <f>связь!C9</f>
        <v>6200</v>
      </c>
      <c r="F20" s="321">
        <f>связь!D9</f>
        <v>0</v>
      </c>
      <c r="G20" s="321">
        <f>связь!E9</f>
        <v>0</v>
      </c>
      <c r="H20" s="321">
        <f>связь!F9</f>
        <v>0</v>
      </c>
      <c r="I20" s="321">
        <f>связь!G9</f>
        <v>0</v>
      </c>
      <c r="J20" s="321">
        <f>связь!H9</f>
        <v>0</v>
      </c>
      <c r="K20" s="321">
        <f>связь!I9</f>
        <v>0</v>
      </c>
      <c r="L20" s="321">
        <f>связь!J9</f>
        <v>0</v>
      </c>
      <c r="M20" s="321">
        <f>связь!K9</f>
        <v>0</v>
      </c>
      <c r="N20" s="321">
        <f>связь!L9</f>
        <v>0</v>
      </c>
      <c r="O20" s="321">
        <f>связь!M9</f>
        <v>0</v>
      </c>
      <c r="P20" s="231">
        <f t="shared" si="8"/>
        <v>12400</v>
      </c>
      <c r="Q20" s="232">
        <f t="shared" si="9"/>
        <v>110000</v>
      </c>
      <c r="R20" s="268">
        <f t="shared" si="10"/>
        <v>97600</v>
      </c>
    </row>
    <row r="21" spans="1:22" ht="15.75" x14ac:dyDescent="0.25">
      <c r="A21" s="221" t="s">
        <v>59</v>
      </c>
      <c r="B21" s="253">
        <v>11101200</v>
      </c>
      <c r="C21" s="227">
        <f t="shared" si="7"/>
        <v>925100</v>
      </c>
      <c r="D21" s="322">
        <f>'з пл'!B6</f>
        <v>731270.01</v>
      </c>
      <c r="E21" s="322">
        <f>'з пл'!C6</f>
        <v>1271460</v>
      </c>
      <c r="F21" s="322">
        <f>'з пл'!D6</f>
        <v>0</v>
      </c>
      <c r="G21" s="322">
        <f>'з пл'!E6</f>
        <v>0</v>
      </c>
      <c r="H21" s="322">
        <f>'з пл'!F6</f>
        <v>0</v>
      </c>
      <c r="I21" s="322">
        <f>'з пл'!G6</f>
        <v>0</v>
      </c>
      <c r="J21" s="322">
        <f>'з пл'!H6</f>
        <v>0</v>
      </c>
      <c r="K21" s="322">
        <f>'з пл'!I6</f>
        <v>0</v>
      </c>
      <c r="L21" s="322">
        <f>'з пл'!J6</f>
        <v>0</v>
      </c>
      <c r="M21" s="322">
        <f>'з пл'!K6</f>
        <v>0</v>
      </c>
      <c r="N21" s="322">
        <f>'з пл'!L6</f>
        <v>0</v>
      </c>
      <c r="O21" s="322">
        <f>'з пл'!M6</f>
        <v>0</v>
      </c>
      <c r="P21" s="231">
        <f t="shared" si="8"/>
        <v>2002730.01</v>
      </c>
      <c r="Q21" s="232">
        <f t="shared" si="9"/>
        <v>11101200</v>
      </c>
      <c r="R21" s="268">
        <f t="shared" si="10"/>
        <v>9098469.9900000002</v>
      </c>
    </row>
    <row r="22" spans="1:22" ht="15.75" x14ac:dyDescent="0.25">
      <c r="A22" s="221" t="s">
        <v>33</v>
      </c>
      <c r="B22" s="253">
        <v>804000</v>
      </c>
      <c r="C22" s="227">
        <f>B22/12</f>
        <v>67000</v>
      </c>
      <c r="D22" s="322">
        <f>премии!B5</f>
        <v>40000</v>
      </c>
      <c r="E22" s="322">
        <f>премии!C5</f>
        <v>117000</v>
      </c>
      <c r="F22" s="322">
        <f>премии!D5</f>
        <v>0</v>
      </c>
      <c r="G22" s="322">
        <f>премии!E5</f>
        <v>0</v>
      </c>
      <c r="H22" s="322">
        <f>премии!F5</f>
        <v>0</v>
      </c>
      <c r="I22" s="322">
        <f>премии!G5</f>
        <v>0</v>
      </c>
      <c r="J22" s="322">
        <f>премии!H5</f>
        <v>0</v>
      </c>
      <c r="K22" s="322">
        <f>премии!I5</f>
        <v>0</v>
      </c>
      <c r="L22" s="322">
        <f>премии!J5</f>
        <v>0</v>
      </c>
      <c r="M22" s="322">
        <f>премии!K5</f>
        <v>0</v>
      </c>
      <c r="N22" s="322">
        <f>премии!L5</f>
        <v>0</v>
      </c>
      <c r="O22" s="322">
        <f>премии!M5</f>
        <v>0</v>
      </c>
      <c r="P22" s="231">
        <f>SUM(D22:O22)</f>
        <v>157000</v>
      </c>
      <c r="Q22" s="232">
        <f t="shared" si="9"/>
        <v>804000</v>
      </c>
      <c r="R22" s="268">
        <f t="shared" si="10"/>
        <v>647000</v>
      </c>
    </row>
    <row r="23" spans="1:22" ht="15.75" x14ac:dyDescent="0.25">
      <c r="A23" s="221" t="s">
        <v>34</v>
      </c>
      <c r="B23" s="253">
        <v>3595400</v>
      </c>
      <c r="C23" s="227">
        <f t="shared" si="7"/>
        <v>299616.66666666669</v>
      </c>
      <c r="D23" s="323">
        <f>'налог с ФОТ'!B6</f>
        <v>292625.02999999997</v>
      </c>
      <c r="E23" s="323">
        <f>'налог с ФОТ'!C6</f>
        <v>268690.39999999997</v>
      </c>
      <c r="F23" s="323">
        <f>'налог с ФОТ'!D6</f>
        <v>0</v>
      </c>
      <c r="G23" s="323">
        <f>'налог с ФОТ'!E6</f>
        <v>0</v>
      </c>
      <c r="H23" s="323">
        <f>'налог с ФОТ'!F6</f>
        <v>0</v>
      </c>
      <c r="I23" s="323">
        <f>'налог с ФОТ'!G6</f>
        <v>0</v>
      </c>
      <c r="J23" s="323">
        <f>'налог с ФОТ'!H6</f>
        <v>0</v>
      </c>
      <c r="K23" s="323">
        <f>'налог с ФОТ'!I6</f>
        <v>0</v>
      </c>
      <c r="L23" s="323">
        <f>'налог с ФОТ'!J6</f>
        <v>0</v>
      </c>
      <c r="M23" s="323">
        <f>'налог с ФОТ'!K6</f>
        <v>0</v>
      </c>
      <c r="N23" s="323">
        <f>'налог с ФОТ'!L6</f>
        <v>0</v>
      </c>
      <c r="O23" s="323">
        <f>'налог с ФОТ'!M6</f>
        <v>0</v>
      </c>
      <c r="P23" s="231">
        <f t="shared" si="8"/>
        <v>561315.42999999993</v>
      </c>
      <c r="Q23" s="232">
        <f t="shared" si="9"/>
        <v>3595400</v>
      </c>
      <c r="R23" s="268">
        <f t="shared" si="10"/>
        <v>3034084.5700000003</v>
      </c>
    </row>
    <row r="24" spans="1:22" ht="15.75" x14ac:dyDescent="0.25">
      <c r="A24" s="266" t="s">
        <v>36</v>
      </c>
      <c r="B24" s="223">
        <v>5000000</v>
      </c>
      <c r="C24" s="227">
        <f t="shared" si="7"/>
        <v>416666.66666666669</v>
      </c>
      <c r="D24" s="321">
        <f>мусор!B10</f>
        <v>609000</v>
      </c>
      <c r="E24" s="321">
        <f>мусор!C10</f>
        <v>409208.62</v>
      </c>
      <c r="F24" s="321">
        <f>мусор!D10</f>
        <v>0</v>
      </c>
      <c r="G24" s="321">
        <f>мусор!E10</f>
        <v>0</v>
      </c>
      <c r="H24" s="321">
        <f>мусор!F10</f>
        <v>0</v>
      </c>
      <c r="I24" s="321">
        <f>мусор!G10</f>
        <v>0</v>
      </c>
      <c r="J24" s="321">
        <f>мусор!H10</f>
        <v>0</v>
      </c>
      <c r="K24" s="321">
        <f>мусор!I10</f>
        <v>0</v>
      </c>
      <c r="L24" s="321">
        <f>мусор!J10</f>
        <v>0</v>
      </c>
      <c r="M24" s="321">
        <f>мусор!K10</f>
        <v>0</v>
      </c>
      <c r="N24" s="321">
        <f>мусор!L10</f>
        <v>0</v>
      </c>
      <c r="O24" s="321">
        <f>мусор!M10</f>
        <v>0</v>
      </c>
      <c r="P24" s="231">
        <f t="shared" si="8"/>
        <v>1018208.62</v>
      </c>
      <c r="Q24" s="232">
        <f>C24*$Q$2</f>
        <v>5000000</v>
      </c>
      <c r="R24" s="268">
        <f>Q24-P24</f>
        <v>3981791.38</v>
      </c>
    </row>
    <row r="25" spans="1:22" ht="15.75" x14ac:dyDescent="0.25">
      <c r="A25" s="266" t="s">
        <v>37</v>
      </c>
      <c r="B25" s="223">
        <v>9396000</v>
      </c>
      <c r="C25" s="227">
        <f t="shared" si="7"/>
        <v>783000</v>
      </c>
      <c r="D25" s="267"/>
      <c r="E25" s="267">
        <f>783000+783000</f>
        <v>1566000</v>
      </c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31">
        <f t="shared" si="8"/>
        <v>1566000</v>
      </c>
      <c r="Q25" s="232">
        <f t="shared" si="9"/>
        <v>9396000</v>
      </c>
      <c r="R25" s="268">
        <f t="shared" si="10"/>
        <v>7830000</v>
      </c>
    </row>
    <row r="26" spans="1:22" ht="15.75" x14ac:dyDescent="0.25">
      <c r="A26" s="266" t="s">
        <v>39</v>
      </c>
      <c r="B26" s="223">
        <v>400000</v>
      </c>
      <c r="C26" s="227">
        <f t="shared" si="7"/>
        <v>33333.333333333336</v>
      </c>
      <c r="D26" s="321">
        <f>вода!B32</f>
        <v>32764.799999999999</v>
      </c>
      <c r="E26" s="321">
        <f>вода!C32</f>
        <v>10330</v>
      </c>
      <c r="F26" s="321">
        <f>вода!D32</f>
        <v>0</v>
      </c>
      <c r="G26" s="321">
        <f>вода!E32</f>
        <v>0</v>
      </c>
      <c r="H26" s="321">
        <f>вода!F32</f>
        <v>0</v>
      </c>
      <c r="I26" s="321">
        <f>вода!G32</f>
        <v>0</v>
      </c>
      <c r="J26" s="321">
        <f>вода!H32</f>
        <v>0</v>
      </c>
      <c r="K26" s="321">
        <f>вода!I32</f>
        <v>0</v>
      </c>
      <c r="L26" s="321">
        <f>вода!J32</f>
        <v>0</v>
      </c>
      <c r="M26" s="321">
        <f>вода!K32</f>
        <v>0</v>
      </c>
      <c r="N26" s="321">
        <f>вода!L32</f>
        <v>0</v>
      </c>
      <c r="O26" s="321">
        <f>вода!M32</f>
        <v>0</v>
      </c>
      <c r="P26" s="231">
        <f t="shared" si="8"/>
        <v>43094.8</v>
      </c>
      <c r="Q26" s="232">
        <f t="shared" si="9"/>
        <v>400000</v>
      </c>
      <c r="R26" s="268">
        <f t="shared" si="10"/>
        <v>356905.2</v>
      </c>
    </row>
    <row r="27" spans="1:22" ht="15.75" x14ac:dyDescent="0.25">
      <c r="A27" s="266" t="s">
        <v>121</v>
      </c>
      <c r="B27" s="223">
        <v>450000</v>
      </c>
      <c r="C27" s="227">
        <f t="shared" si="7"/>
        <v>37500</v>
      </c>
      <c r="D27" s="321">
        <f>канализация!B64</f>
        <v>362926.76</v>
      </c>
      <c r="E27" s="321">
        <f>канализация!C64</f>
        <v>-71577.38</v>
      </c>
      <c r="F27" s="321">
        <f>канализация!D64</f>
        <v>0</v>
      </c>
      <c r="G27" s="321">
        <f>канализация!E64</f>
        <v>0</v>
      </c>
      <c r="H27" s="321">
        <f>канализация!F64</f>
        <v>0</v>
      </c>
      <c r="I27" s="321">
        <f>канализация!G64</f>
        <v>0</v>
      </c>
      <c r="J27" s="321">
        <f>канализация!H64</f>
        <v>0</v>
      </c>
      <c r="K27" s="321">
        <f>канализация!I64</f>
        <v>0</v>
      </c>
      <c r="L27" s="321">
        <f>канализация!J64</f>
        <v>0</v>
      </c>
      <c r="M27" s="321">
        <f>канализация!K64</f>
        <v>0</v>
      </c>
      <c r="N27" s="321">
        <f>канализация!L64</f>
        <v>0</v>
      </c>
      <c r="O27" s="321">
        <f>канализация!M64</f>
        <v>0</v>
      </c>
      <c r="P27" s="231">
        <f t="shared" si="8"/>
        <v>291349.38</v>
      </c>
      <c r="Q27" s="232">
        <f t="shared" si="9"/>
        <v>450000</v>
      </c>
      <c r="R27" s="268">
        <f t="shared" si="10"/>
        <v>158650.62</v>
      </c>
    </row>
    <row r="28" spans="1:22" ht="15.75" x14ac:dyDescent="0.25">
      <c r="A28" s="266" t="s">
        <v>60</v>
      </c>
      <c r="B28" s="223">
        <v>2100000</v>
      </c>
      <c r="C28" s="227">
        <f t="shared" si="7"/>
        <v>175000</v>
      </c>
      <c r="D28" s="321">
        <f>эл.снабж!B77</f>
        <v>232766.64</v>
      </c>
      <c r="E28" s="321">
        <f>эл.снабж!C77</f>
        <v>279709.18</v>
      </c>
      <c r="F28" s="321">
        <f>эл.снабж!D77</f>
        <v>0</v>
      </c>
      <c r="G28" s="321">
        <f>эл.снабж!E77</f>
        <v>0</v>
      </c>
      <c r="H28" s="321">
        <f>эл.снабж!F77</f>
        <v>0</v>
      </c>
      <c r="I28" s="321">
        <f>эл.снабж!G77</f>
        <v>0</v>
      </c>
      <c r="J28" s="321">
        <f>эл.снабж!H77</f>
        <v>0</v>
      </c>
      <c r="K28" s="321">
        <f>эл.снабж!I77</f>
        <v>0</v>
      </c>
      <c r="L28" s="321">
        <f>эл.снабж!J77</f>
        <v>0</v>
      </c>
      <c r="M28" s="321">
        <f>эл.снабж!K77</f>
        <v>0</v>
      </c>
      <c r="N28" s="321">
        <f>эл.снабж!L77</f>
        <v>0</v>
      </c>
      <c r="O28" s="321">
        <f>эл.снабж!M77</f>
        <v>0</v>
      </c>
      <c r="P28" s="231">
        <f t="shared" si="8"/>
        <v>512475.82</v>
      </c>
      <c r="Q28" s="232">
        <f t="shared" si="9"/>
        <v>2100000</v>
      </c>
      <c r="R28" s="268">
        <f t="shared" si="10"/>
        <v>1587524.18</v>
      </c>
      <c r="V28" s="215" t="s">
        <v>61</v>
      </c>
    </row>
    <row r="29" spans="1:22" ht="30" x14ac:dyDescent="0.25">
      <c r="A29" s="266" t="s">
        <v>122</v>
      </c>
      <c r="B29" s="223">
        <v>550000</v>
      </c>
      <c r="C29" s="227">
        <f t="shared" si="7"/>
        <v>45833.333333333336</v>
      </c>
      <c r="D29" s="321">
        <f>'спец авто транспорт'!B47</f>
        <v>55368</v>
      </c>
      <c r="E29" s="321">
        <f>'спец авто транспорт'!C47</f>
        <v>83345</v>
      </c>
      <c r="F29" s="321">
        <f>'спец авто транспорт'!D47</f>
        <v>0</v>
      </c>
      <c r="G29" s="321">
        <f>'спец авто транспорт'!E47</f>
        <v>0</v>
      </c>
      <c r="H29" s="321">
        <f>'спец авто транспорт'!F47</f>
        <v>0</v>
      </c>
      <c r="I29" s="321">
        <f>'спец авто транспорт'!G47</f>
        <v>0</v>
      </c>
      <c r="J29" s="321">
        <f>'спец авто транспорт'!H47</f>
        <v>0</v>
      </c>
      <c r="K29" s="321">
        <f>'спец авто транспорт'!I47</f>
        <v>0</v>
      </c>
      <c r="L29" s="321">
        <f>'спец авто транспорт'!J47</f>
        <v>0</v>
      </c>
      <c r="M29" s="321">
        <f>'спец авто транспорт'!K47</f>
        <v>0</v>
      </c>
      <c r="N29" s="321">
        <f>'спец авто транспорт'!L47</f>
        <v>0</v>
      </c>
      <c r="O29" s="321">
        <f>'спец авто транспорт'!M47</f>
        <v>0</v>
      </c>
      <c r="P29" s="231">
        <f t="shared" si="8"/>
        <v>138713</v>
      </c>
      <c r="Q29" s="232">
        <f t="shared" si="9"/>
        <v>550000</v>
      </c>
      <c r="R29" s="268">
        <f t="shared" si="10"/>
        <v>411287</v>
      </c>
    </row>
    <row r="30" spans="1:22" ht="15.75" x14ac:dyDescent="0.25">
      <c r="A30" s="266" t="s">
        <v>45</v>
      </c>
      <c r="B30" s="223">
        <v>450000</v>
      </c>
      <c r="C30" s="227">
        <f>B30/12</f>
        <v>37500</v>
      </c>
      <c r="D30" s="321">
        <f>'благ-во'!B62</f>
        <v>82340</v>
      </c>
      <c r="E30" s="321">
        <f>'благ-во'!C62</f>
        <v>0</v>
      </c>
      <c r="F30" s="321">
        <f>'благ-во'!D62</f>
        <v>0</v>
      </c>
      <c r="G30" s="321">
        <f>'благ-во'!E62</f>
        <v>0</v>
      </c>
      <c r="H30" s="321">
        <f>'благ-во'!F62</f>
        <v>0</v>
      </c>
      <c r="I30" s="321">
        <f>'благ-во'!G62</f>
        <v>0</v>
      </c>
      <c r="J30" s="321">
        <f>'благ-во'!H62</f>
        <v>0</v>
      </c>
      <c r="K30" s="321">
        <f>'благ-во'!I62</f>
        <v>0</v>
      </c>
      <c r="L30" s="321">
        <f>'благ-во'!J62</f>
        <v>0</v>
      </c>
      <c r="M30" s="321">
        <f>'благ-во'!K62</f>
        <v>0</v>
      </c>
      <c r="N30" s="321">
        <f>'благ-во'!L62</f>
        <v>0</v>
      </c>
      <c r="O30" s="321">
        <f>'благ-во'!M62</f>
        <v>0</v>
      </c>
      <c r="P30" s="231">
        <f t="shared" si="8"/>
        <v>82340</v>
      </c>
      <c r="Q30" s="232">
        <f t="shared" si="9"/>
        <v>450000</v>
      </c>
      <c r="R30" s="268">
        <f t="shared" ref="R30" si="11">Q30-P30</f>
        <v>367660</v>
      </c>
    </row>
    <row r="31" spans="1:22" ht="30" x14ac:dyDescent="0.25">
      <c r="A31" s="266" t="s">
        <v>142</v>
      </c>
      <c r="B31" s="223">
        <v>3100000</v>
      </c>
      <c r="C31" s="227">
        <f t="shared" si="7"/>
        <v>258333.33333333334</v>
      </c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31">
        <f t="shared" si="8"/>
        <v>0</v>
      </c>
      <c r="Q31" s="317" t="s">
        <v>123</v>
      </c>
      <c r="R31" s="320">
        <f>B31-P31</f>
        <v>3100000</v>
      </c>
    </row>
    <row r="32" spans="1:22" ht="15.75" x14ac:dyDescent="0.25">
      <c r="A32" s="266" t="s">
        <v>62</v>
      </c>
      <c r="B32" s="223">
        <v>800000</v>
      </c>
      <c r="C32" s="227">
        <f t="shared" si="7"/>
        <v>66666.666666666672</v>
      </c>
      <c r="D32" s="267"/>
      <c r="E32" s="267">
        <f>104000+696000</f>
        <v>800000</v>
      </c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31">
        <f t="shared" si="8"/>
        <v>800000</v>
      </c>
      <c r="Q32" s="317" t="s">
        <v>123</v>
      </c>
      <c r="R32" s="320">
        <f t="shared" ref="R32:R34" si="12">B32-P32</f>
        <v>0</v>
      </c>
    </row>
    <row r="33" spans="1:19" ht="15.75" x14ac:dyDescent="0.25">
      <c r="A33" s="266" t="s">
        <v>140</v>
      </c>
      <c r="B33" s="234">
        <v>100000</v>
      </c>
      <c r="C33" s="227">
        <f t="shared" si="7"/>
        <v>8333.3333333333339</v>
      </c>
      <c r="D33" s="271"/>
      <c r="E33" s="271">
        <f>87000+13000</f>
        <v>100000</v>
      </c>
      <c r="F33" s="271"/>
      <c r="G33" s="271"/>
      <c r="H33" s="271"/>
      <c r="I33" s="271"/>
      <c r="J33" s="271"/>
      <c r="K33" s="271"/>
      <c r="L33" s="271"/>
      <c r="M33" s="271"/>
      <c r="N33" s="271"/>
      <c r="O33" s="271"/>
      <c r="P33" s="231">
        <f t="shared" si="8"/>
        <v>100000</v>
      </c>
      <c r="Q33" s="420" t="s">
        <v>123</v>
      </c>
      <c r="R33" s="320">
        <f t="shared" si="12"/>
        <v>0</v>
      </c>
    </row>
    <row r="34" spans="1:19" ht="15.75" x14ac:dyDescent="0.25">
      <c r="A34" s="270" t="s">
        <v>63</v>
      </c>
      <c r="B34" s="234">
        <v>241600</v>
      </c>
      <c r="C34" s="227">
        <f t="shared" si="7"/>
        <v>20133.333333333332</v>
      </c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1"/>
      <c r="P34" s="231">
        <f t="shared" si="8"/>
        <v>0</v>
      </c>
      <c r="Q34" s="317" t="s">
        <v>123</v>
      </c>
      <c r="R34" s="320">
        <f t="shared" si="12"/>
        <v>241600</v>
      </c>
    </row>
    <row r="35" spans="1:19" ht="15.75" x14ac:dyDescent="0.25">
      <c r="A35" s="270" t="s">
        <v>141</v>
      </c>
      <c r="B35" s="234">
        <v>30200</v>
      </c>
      <c r="C35" s="235">
        <f t="shared" si="7"/>
        <v>2516.6666666666665</v>
      </c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368"/>
      <c r="Q35" s="369"/>
      <c r="R35" s="370"/>
    </row>
    <row r="36" spans="1:19" ht="16.5" thickBot="1" x14ac:dyDescent="0.3">
      <c r="A36" s="296" t="s">
        <v>47</v>
      </c>
      <c r="B36" s="273">
        <v>2358504</v>
      </c>
      <c r="C36" s="274">
        <f t="shared" si="7"/>
        <v>196542</v>
      </c>
      <c r="D36" s="324">
        <f>'рез фонд'!B55</f>
        <v>0</v>
      </c>
      <c r="E36" s="324">
        <f>'рез фонд'!C55</f>
        <v>0</v>
      </c>
      <c r="F36" s="324">
        <f>'рез фонд'!D55</f>
        <v>0</v>
      </c>
      <c r="G36" s="324">
        <f>'рез фонд'!E55</f>
        <v>0</v>
      </c>
      <c r="H36" s="324">
        <f>'рез фонд'!F55</f>
        <v>0</v>
      </c>
      <c r="I36" s="324">
        <f>'рез фонд'!G55</f>
        <v>0</v>
      </c>
      <c r="J36" s="324">
        <f>'рез фонд'!H55</f>
        <v>0</v>
      </c>
      <c r="K36" s="324">
        <f>'рез фонд'!I55</f>
        <v>0</v>
      </c>
      <c r="L36" s="324">
        <f>'рез фонд'!J55</f>
        <v>0</v>
      </c>
      <c r="M36" s="324">
        <f>'рез фонд'!K55</f>
        <v>0</v>
      </c>
      <c r="N36" s="324">
        <f>'рез фонд'!L55</f>
        <v>0</v>
      </c>
      <c r="O36" s="324">
        <f>'рез фонд'!M55</f>
        <v>0</v>
      </c>
      <c r="P36" s="276">
        <f t="shared" si="8"/>
        <v>0</v>
      </c>
      <c r="Q36" s="318" t="s">
        <v>123</v>
      </c>
      <c r="R36" s="319">
        <f t="shared" ref="R36" si="13">B36-P36</f>
        <v>2358504</v>
      </c>
      <c r="S36" s="272"/>
    </row>
    <row r="37" spans="1:19" ht="31.5" x14ac:dyDescent="0.25">
      <c r="A37" s="297" t="s">
        <v>64</v>
      </c>
      <c r="B37" s="290">
        <f t="shared" ref="B37:P37" si="14">SUM(B18:B36)</f>
        <v>41666904</v>
      </c>
      <c r="C37" s="290">
        <f t="shared" si="14"/>
        <v>3472242.0000000005</v>
      </c>
      <c r="D37" s="290">
        <f t="shared" si="14"/>
        <v>2548504.3000000003</v>
      </c>
      <c r="E37" s="290">
        <f t="shared" si="14"/>
        <v>4903578.29</v>
      </c>
      <c r="F37" s="290">
        <f t="shared" si="14"/>
        <v>0</v>
      </c>
      <c r="G37" s="290">
        <f t="shared" si="14"/>
        <v>0</v>
      </c>
      <c r="H37" s="290">
        <f t="shared" si="14"/>
        <v>0</v>
      </c>
      <c r="I37" s="290">
        <f t="shared" si="14"/>
        <v>0</v>
      </c>
      <c r="J37" s="290">
        <f t="shared" si="14"/>
        <v>0</v>
      </c>
      <c r="K37" s="290">
        <f t="shared" si="14"/>
        <v>0</v>
      </c>
      <c r="L37" s="290">
        <f t="shared" si="14"/>
        <v>0</v>
      </c>
      <c r="M37" s="290">
        <f t="shared" si="14"/>
        <v>0</v>
      </c>
      <c r="N37" s="290">
        <f t="shared" si="14"/>
        <v>0</v>
      </c>
      <c r="O37" s="290">
        <f t="shared" si="14"/>
        <v>0</v>
      </c>
      <c r="P37" s="290">
        <f t="shared" si="14"/>
        <v>7452082.5899999999</v>
      </c>
      <c r="Q37" s="290" t="s">
        <v>123</v>
      </c>
      <c r="R37" s="290">
        <f>SUM(R18:R36)</f>
        <v>34184621.409999996</v>
      </c>
      <c r="S37" s="272"/>
    </row>
    <row r="38" spans="1:19" ht="15.75" x14ac:dyDescent="0.25">
      <c r="A38" s="291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2"/>
    </row>
    <row r="39" spans="1:19" ht="15.75" x14ac:dyDescent="0.25">
      <c r="A39" s="294" t="s">
        <v>66</v>
      </c>
      <c r="B39" s="223">
        <v>7560000</v>
      </c>
      <c r="C39" s="227">
        <f t="shared" ref="C39:C44" si="15">B39/12</f>
        <v>630000</v>
      </c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31">
        <f>SUM(D39:O39)</f>
        <v>0</v>
      </c>
      <c r="Q39" s="320" t="s">
        <v>123</v>
      </c>
      <c r="R39" s="292">
        <f t="shared" ref="R39:R44" si="16">B39-P39</f>
        <v>7560000</v>
      </c>
    </row>
    <row r="40" spans="1:19" ht="15.75" x14ac:dyDescent="0.25">
      <c r="A40" s="221" t="s">
        <v>143</v>
      </c>
      <c r="B40" s="253">
        <v>274000</v>
      </c>
      <c r="C40" s="227">
        <f t="shared" si="15"/>
        <v>22833.333333333332</v>
      </c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31">
        <f t="shared" ref="P40:P44" si="17">SUM(D40:O40)</f>
        <v>0</v>
      </c>
      <c r="Q40" s="317" t="s">
        <v>123</v>
      </c>
      <c r="R40" s="292">
        <f t="shared" si="16"/>
        <v>274000</v>
      </c>
    </row>
    <row r="41" spans="1:19" ht="15.75" x14ac:dyDescent="0.25">
      <c r="A41" s="221" t="s">
        <v>144</v>
      </c>
      <c r="B41" s="253">
        <v>300000</v>
      </c>
      <c r="C41" s="227">
        <f t="shared" si="15"/>
        <v>25000</v>
      </c>
      <c r="D41" s="269">
        <v>150000</v>
      </c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31">
        <f t="shared" si="17"/>
        <v>150000</v>
      </c>
      <c r="Q41" s="317" t="s">
        <v>123</v>
      </c>
      <c r="R41" s="292">
        <f t="shared" si="16"/>
        <v>150000</v>
      </c>
    </row>
    <row r="42" spans="1:19" ht="15.75" x14ac:dyDescent="0.25">
      <c r="A42" s="266" t="s">
        <v>145</v>
      </c>
      <c r="B42" s="223">
        <v>2800000</v>
      </c>
      <c r="C42" s="227">
        <f t="shared" si="15"/>
        <v>233333.33333333334</v>
      </c>
      <c r="D42" s="267">
        <v>1500000</v>
      </c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31">
        <f t="shared" si="17"/>
        <v>1500000</v>
      </c>
      <c r="Q42" s="317" t="s">
        <v>123</v>
      </c>
      <c r="R42" s="292">
        <f t="shared" si="16"/>
        <v>1300000</v>
      </c>
    </row>
    <row r="43" spans="1:19" ht="15.75" x14ac:dyDescent="0.25">
      <c r="A43" s="266" t="s">
        <v>146</v>
      </c>
      <c r="B43" s="223">
        <v>800000</v>
      </c>
      <c r="C43" s="227">
        <f>B43/12</f>
        <v>66666.666666666672</v>
      </c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31">
        <f t="shared" si="17"/>
        <v>0</v>
      </c>
      <c r="Q43" s="317" t="s">
        <v>123</v>
      </c>
      <c r="R43" s="292">
        <f t="shared" si="16"/>
        <v>800000</v>
      </c>
    </row>
    <row r="44" spans="1:19" ht="15.75" x14ac:dyDescent="0.25">
      <c r="A44" s="266" t="s">
        <v>147</v>
      </c>
      <c r="B44" s="223">
        <v>350000</v>
      </c>
      <c r="C44" s="227">
        <f t="shared" si="15"/>
        <v>29166.666666666668</v>
      </c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31">
        <f t="shared" si="17"/>
        <v>0</v>
      </c>
      <c r="Q44" s="317" t="s">
        <v>123</v>
      </c>
      <c r="R44" s="292">
        <f t="shared" si="16"/>
        <v>350000</v>
      </c>
    </row>
    <row r="45" spans="1:19" ht="16.5" thickBot="1" x14ac:dyDescent="0.3">
      <c r="A45" s="266" t="s">
        <v>148</v>
      </c>
      <c r="B45" s="223">
        <v>250000</v>
      </c>
      <c r="C45" s="227">
        <f t="shared" ref="C45" si="18">B45/12</f>
        <v>20833.333333333332</v>
      </c>
      <c r="D45" s="275"/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6"/>
      <c r="Q45" s="319"/>
      <c r="R45" s="298"/>
    </row>
    <row r="46" spans="1:19" ht="31.5" x14ac:dyDescent="0.25">
      <c r="A46" s="295" t="s">
        <v>65</v>
      </c>
      <c r="B46" s="290">
        <f t="shared" ref="B46:P46" si="19">SUM(B39:B45)</f>
        <v>12334000</v>
      </c>
      <c r="C46" s="290">
        <f t="shared" si="19"/>
        <v>1027833.3333333334</v>
      </c>
      <c r="D46" s="290">
        <f t="shared" si="19"/>
        <v>1650000</v>
      </c>
      <c r="E46" s="290">
        <f t="shared" si="19"/>
        <v>0</v>
      </c>
      <c r="F46" s="290">
        <f t="shared" si="19"/>
        <v>0</v>
      </c>
      <c r="G46" s="290">
        <f t="shared" si="19"/>
        <v>0</v>
      </c>
      <c r="H46" s="290">
        <f t="shared" si="19"/>
        <v>0</v>
      </c>
      <c r="I46" s="290">
        <f t="shared" si="19"/>
        <v>0</v>
      </c>
      <c r="J46" s="290">
        <f t="shared" si="19"/>
        <v>0</v>
      </c>
      <c r="K46" s="290">
        <f t="shared" si="19"/>
        <v>0</v>
      </c>
      <c r="L46" s="290">
        <f t="shared" si="19"/>
        <v>0</v>
      </c>
      <c r="M46" s="290">
        <f t="shared" si="19"/>
        <v>0</v>
      </c>
      <c r="N46" s="290">
        <f t="shared" si="19"/>
        <v>0</v>
      </c>
      <c r="O46" s="290">
        <f t="shared" si="19"/>
        <v>0</v>
      </c>
      <c r="P46" s="290">
        <f t="shared" si="19"/>
        <v>1650000</v>
      </c>
      <c r="Q46" s="290" t="s">
        <v>123</v>
      </c>
      <c r="R46" s="290">
        <f>SUM(R39:R45)</f>
        <v>10434000</v>
      </c>
      <c r="S46" s="272"/>
    </row>
    <row r="47" spans="1:19" ht="15.75" x14ac:dyDescent="0.25">
      <c r="A47" s="291"/>
      <c r="B47" s="291"/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72"/>
    </row>
    <row r="48" spans="1:19" ht="15.75" x14ac:dyDescent="0.25">
      <c r="A48" s="293" t="s">
        <v>48</v>
      </c>
      <c r="B48" s="223">
        <f t="shared" ref="B48:P48" si="20">B37+B46</f>
        <v>54000904</v>
      </c>
      <c r="C48" s="227">
        <f t="shared" si="20"/>
        <v>4500075.333333334</v>
      </c>
      <c r="D48" s="223">
        <f t="shared" si="20"/>
        <v>4198504.3000000007</v>
      </c>
      <c r="E48" s="223">
        <f t="shared" si="20"/>
        <v>4903578.29</v>
      </c>
      <c r="F48" s="223">
        <f t="shared" si="20"/>
        <v>0</v>
      </c>
      <c r="G48" s="223">
        <f t="shared" si="20"/>
        <v>0</v>
      </c>
      <c r="H48" s="223">
        <f t="shared" si="20"/>
        <v>0</v>
      </c>
      <c r="I48" s="223">
        <f t="shared" si="20"/>
        <v>0</v>
      </c>
      <c r="J48" s="223">
        <f t="shared" si="20"/>
        <v>0</v>
      </c>
      <c r="K48" s="223">
        <f t="shared" si="20"/>
        <v>0</v>
      </c>
      <c r="L48" s="223">
        <f t="shared" si="20"/>
        <v>0</v>
      </c>
      <c r="M48" s="223">
        <f t="shared" si="20"/>
        <v>0</v>
      </c>
      <c r="N48" s="223">
        <f t="shared" si="20"/>
        <v>0</v>
      </c>
      <c r="O48" s="223">
        <f t="shared" si="20"/>
        <v>0</v>
      </c>
      <c r="P48" s="223">
        <f t="shared" si="20"/>
        <v>9102082.5899999999</v>
      </c>
      <c r="Q48" s="223" t="s">
        <v>123</v>
      </c>
      <c r="R48" s="268">
        <f>R37+R46</f>
        <v>44618621.409999996</v>
      </c>
    </row>
    <row r="49" spans="1:19" ht="15.75" x14ac:dyDescent="0.25">
      <c r="A49" s="212"/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85"/>
      <c r="R49" s="213"/>
    </row>
    <row r="50" spans="1:19" s="289" customFormat="1" ht="24.75" customHeight="1" x14ac:dyDescent="0.25">
      <c r="A50" s="286" t="s">
        <v>116</v>
      </c>
      <c r="B50" s="287"/>
      <c r="C50" s="287"/>
      <c r="D50" s="288">
        <v>1480675.35</v>
      </c>
      <c r="E50" s="288">
        <v>317648.90000000002</v>
      </c>
      <c r="F50" s="288"/>
      <c r="G50" s="288"/>
      <c r="H50" s="288"/>
      <c r="I50" s="288"/>
      <c r="J50" s="288"/>
      <c r="K50" s="288"/>
      <c r="L50" s="288"/>
      <c r="M50" s="288"/>
      <c r="N50" s="288"/>
      <c r="O50" s="363"/>
      <c r="P50" s="207"/>
      <c r="Q50" s="207"/>
      <c r="R50" s="207"/>
    </row>
    <row r="51" spans="1:19" s="208" customFormat="1" ht="15.75" x14ac:dyDescent="0.25">
      <c r="A51" s="365"/>
      <c r="B51" s="422" t="s">
        <v>219</v>
      </c>
      <c r="C51" s="422"/>
      <c r="D51" s="423"/>
      <c r="E51" s="423">
        <v>2000000</v>
      </c>
      <c r="F51" s="423"/>
      <c r="G51" s="423"/>
      <c r="H51" s="423"/>
      <c r="I51" s="423"/>
      <c r="J51" s="423"/>
      <c r="K51" s="423"/>
      <c r="L51" s="423"/>
      <c r="M51" s="423"/>
      <c r="N51" s="423"/>
      <c r="O51" s="423"/>
      <c r="P51" s="364"/>
      <c r="Q51" s="364"/>
      <c r="R51" s="364"/>
      <c r="S51" s="367"/>
    </row>
    <row r="52" spans="1:19" ht="15.75" x14ac:dyDescent="0.25">
      <c r="A52" s="280"/>
      <c r="B52" s="277"/>
      <c r="C52" s="277"/>
      <c r="D52" s="278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364"/>
      <c r="Q52" s="364"/>
      <c r="R52" s="364"/>
    </row>
    <row r="53" spans="1:19" s="211" customFormat="1" ht="15.75" x14ac:dyDescent="0.25">
      <c r="A53" s="210"/>
      <c r="B53" s="408" t="s">
        <v>131</v>
      </c>
      <c r="C53" s="281" t="s">
        <v>132</v>
      </c>
      <c r="D53" s="282">
        <v>10300</v>
      </c>
      <c r="E53" s="282">
        <v>8400</v>
      </c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364"/>
      <c r="Q53" s="364"/>
      <c r="R53" s="364"/>
    </row>
    <row r="54" spans="1:19" s="211" customFormat="1" ht="15.75" x14ac:dyDescent="0.25">
      <c r="A54" s="210"/>
      <c r="B54" s="408"/>
      <c r="C54" s="281" t="s">
        <v>133</v>
      </c>
      <c r="D54" s="282">
        <v>8400</v>
      </c>
      <c r="E54" s="282">
        <v>41700</v>
      </c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364"/>
      <c r="Q54" s="364"/>
      <c r="R54" s="364"/>
    </row>
    <row r="55" spans="1:19" s="367" customFormat="1" ht="15.75" x14ac:dyDescent="0.25">
      <c r="A55" s="365"/>
      <c r="B55" s="364"/>
      <c r="C55" s="364"/>
      <c r="D55" s="366"/>
      <c r="E55" s="366"/>
      <c r="F55" s="366"/>
      <c r="G55" s="366"/>
      <c r="H55" s="366"/>
      <c r="I55" s="366"/>
      <c r="J55" s="366"/>
      <c r="K55" s="366"/>
      <c r="L55" s="366"/>
      <c r="M55" s="366"/>
      <c r="N55" s="366"/>
      <c r="O55" s="366"/>
      <c r="P55" s="364"/>
      <c r="Q55" s="364"/>
      <c r="R55" s="364"/>
    </row>
    <row r="56" spans="1:19" s="208" customFormat="1" ht="15.75" x14ac:dyDescent="0.25">
      <c r="A56" s="365"/>
      <c r="B56" s="409" t="s">
        <v>134</v>
      </c>
      <c r="C56" s="283" t="s">
        <v>132</v>
      </c>
      <c r="D56" s="360">
        <v>-3608</v>
      </c>
      <c r="E56" s="360">
        <f>D57</f>
        <v>-981.49</v>
      </c>
      <c r="F56" s="360"/>
      <c r="G56" s="360"/>
      <c r="H56" s="360"/>
      <c r="I56" s="360"/>
      <c r="J56" s="360"/>
      <c r="K56" s="360"/>
      <c r="L56" s="360"/>
      <c r="M56" s="360"/>
      <c r="N56" s="360"/>
      <c r="O56" s="360"/>
      <c r="P56" s="364"/>
      <c r="Q56" s="364"/>
      <c r="R56" s="364"/>
      <c r="S56" s="367"/>
    </row>
    <row r="57" spans="1:19" s="208" customFormat="1" ht="15.75" x14ac:dyDescent="0.25">
      <c r="A57" s="365"/>
      <c r="B57" s="409"/>
      <c r="C57" s="283" t="s">
        <v>133</v>
      </c>
      <c r="D57" s="360">
        <v>-981.49</v>
      </c>
      <c r="E57" s="360">
        <v>0</v>
      </c>
      <c r="F57" s="360"/>
      <c r="G57" s="360"/>
      <c r="H57" s="360"/>
      <c r="I57" s="360"/>
      <c r="J57" s="360"/>
      <c r="K57" s="360"/>
      <c r="L57" s="360"/>
      <c r="M57" s="360"/>
      <c r="N57" s="360"/>
      <c r="O57" s="360"/>
      <c r="P57" s="364"/>
      <c r="Q57" s="364"/>
      <c r="R57" s="364"/>
      <c r="S57" s="367"/>
    </row>
    <row r="58" spans="1:19" s="427" customFormat="1" ht="15.75" x14ac:dyDescent="0.25">
      <c r="A58" s="424"/>
      <c r="B58" s="425"/>
      <c r="C58" s="425"/>
      <c r="D58" s="426"/>
      <c r="E58" s="426"/>
      <c r="F58" s="426"/>
      <c r="G58" s="426"/>
      <c r="H58" s="426"/>
      <c r="I58" s="426"/>
      <c r="J58" s="426"/>
      <c r="K58" s="426"/>
      <c r="L58" s="426"/>
      <c r="M58" s="426"/>
      <c r="N58" s="426"/>
      <c r="O58" s="426"/>
      <c r="P58" s="425"/>
      <c r="Q58" s="425"/>
      <c r="R58" s="425"/>
    </row>
    <row r="59" spans="1:19" s="427" customFormat="1" ht="15.75" x14ac:dyDescent="0.25">
      <c r="A59" s="424"/>
      <c r="B59" s="428" t="s">
        <v>135</v>
      </c>
      <c r="C59" s="429" t="s">
        <v>136</v>
      </c>
      <c r="D59" s="430">
        <v>3470709.04</v>
      </c>
      <c r="E59" s="430">
        <v>5839570.7300000004</v>
      </c>
      <c r="F59" s="430"/>
      <c r="G59" s="430"/>
      <c r="H59" s="430"/>
      <c r="I59" s="430"/>
      <c r="J59" s="430"/>
      <c r="K59" s="430"/>
      <c r="L59" s="430"/>
      <c r="M59" s="430"/>
      <c r="N59" s="430"/>
      <c r="O59" s="430"/>
      <c r="P59" s="425"/>
      <c r="Q59" s="425"/>
      <c r="R59" s="425"/>
    </row>
    <row r="60" spans="1:19" s="427" customFormat="1" ht="15.75" x14ac:dyDescent="0.25">
      <c r="A60" s="424"/>
      <c r="B60" s="428"/>
      <c r="C60" s="429" t="s">
        <v>137</v>
      </c>
      <c r="D60" s="430">
        <v>4198917.79</v>
      </c>
      <c r="E60" s="430">
        <v>7002597.1799999997</v>
      </c>
      <c r="F60" s="430"/>
      <c r="G60" s="430"/>
      <c r="H60" s="430"/>
      <c r="I60" s="430"/>
      <c r="J60" s="430"/>
      <c r="K60" s="430"/>
      <c r="L60" s="430"/>
      <c r="M60" s="430"/>
      <c r="N60" s="430"/>
      <c r="O60" s="430"/>
      <c r="P60" s="425"/>
      <c r="Q60" s="425"/>
      <c r="R60" s="425"/>
    </row>
    <row r="61" spans="1:19" s="427" customFormat="1" ht="15.75" x14ac:dyDescent="0.25">
      <c r="A61" s="424"/>
      <c r="B61" s="425"/>
      <c r="C61" s="425"/>
      <c r="D61" s="426"/>
      <c r="E61" s="426"/>
      <c r="F61" s="426"/>
      <c r="G61" s="426"/>
      <c r="H61" s="426"/>
      <c r="I61" s="426"/>
      <c r="J61" s="426"/>
      <c r="K61" s="426"/>
      <c r="L61" s="426"/>
      <c r="M61" s="426"/>
      <c r="N61" s="426"/>
      <c r="O61" s="426"/>
      <c r="P61" s="425"/>
      <c r="Q61" s="425"/>
      <c r="R61" s="425"/>
    </row>
    <row r="62" spans="1:19" s="427" customFormat="1" ht="15.75" x14ac:dyDescent="0.25">
      <c r="A62" s="424"/>
      <c r="B62" s="431" t="s">
        <v>188</v>
      </c>
      <c r="C62" s="431"/>
      <c r="D62" s="430">
        <v>0</v>
      </c>
      <c r="E62" s="430">
        <v>100000</v>
      </c>
      <c r="F62" s="430"/>
      <c r="G62" s="430"/>
      <c r="H62" s="430"/>
      <c r="I62" s="430"/>
      <c r="J62" s="430"/>
      <c r="K62" s="430"/>
      <c r="L62" s="430"/>
      <c r="M62" s="430"/>
      <c r="N62" s="430"/>
      <c r="O62" s="430"/>
      <c r="P62" s="425"/>
      <c r="Q62" s="425"/>
      <c r="R62" s="425"/>
    </row>
    <row r="63" spans="1:19" s="427" customFormat="1" ht="15.75" x14ac:dyDescent="0.25">
      <c r="A63" s="424"/>
      <c r="B63" s="432" t="s">
        <v>162</v>
      </c>
      <c r="C63" s="433" t="s">
        <v>136</v>
      </c>
      <c r="D63" s="426">
        <f>D59-D15</f>
        <v>0</v>
      </c>
      <c r="E63" s="426">
        <f>E59-E15-E62+канализация!C12</f>
        <v>8.149072527885437E-10</v>
      </c>
      <c r="F63" s="426"/>
      <c r="G63" s="426"/>
      <c r="H63" s="426"/>
      <c r="I63" s="426"/>
      <c r="J63" s="426"/>
      <c r="K63" s="426"/>
      <c r="L63" s="426"/>
      <c r="M63" s="426"/>
      <c r="N63" s="426"/>
      <c r="O63" s="426"/>
      <c r="P63" s="425"/>
      <c r="Q63" s="425"/>
      <c r="R63" s="425"/>
    </row>
    <row r="64" spans="1:19" s="426" customFormat="1" ht="15.75" x14ac:dyDescent="0.25">
      <c r="B64" s="432"/>
      <c r="C64" s="433" t="s">
        <v>137</v>
      </c>
      <c r="D64" s="426">
        <f>D60-D48+D57-D56-D12</f>
        <v>-7.0758687797933817E-10</v>
      </c>
      <c r="E64" s="426">
        <f>E60-E48+E57-E56-E12-E51-E62</f>
        <v>0.37999999988824129</v>
      </c>
      <c r="F64" s="426">
        <f>F60-F48+F57-F56-F12</f>
        <v>0</v>
      </c>
      <c r="G64" s="426">
        <f>G60-G48+G57-G56-G12</f>
        <v>0</v>
      </c>
      <c r="H64" s="426">
        <f>H60-H48+H57-H56-H12</f>
        <v>0</v>
      </c>
      <c r="I64" s="426">
        <f>I60-I48+I57-I56-I12</f>
        <v>0</v>
      </c>
      <c r="J64" s="426">
        <f>J60-J48+J57-J56-J12</f>
        <v>0</v>
      </c>
      <c r="K64" s="426">
        <f>K60-K48+K57-K56-K12</f>
        <v>0</v>
      </c>
      <c r="L64" s="426">
        <f>L60-L48+L57-L56-L12</f>
        <v>0</v>
      </c>
      <c r="M64" s="426">
        <f>M60-M48+M57-M56-M12</f>
        <v>0</v>
      </c>
      <c r="N64" s="426">
        <f>N60-N48+N57-N56-N12</f>
        <v>0</v>
      </c>
      <c r="O64" s="426">
        <f>O60-O48+O57-O56-O12</f>
        <v>0</v>
      </c>
      <c r="P64" s="434"/>
    </row>
    <row r="65" spans="1:19" s="439" customFormat="1" x14ac:dyDescent="0.25">
      <c r="A65" s="435"/>
      <c r="B65" s="432"/>
      <c r="C65" s="436" t="s">
        <v>185</v>
      </c>
      <c r="D65" s="437">
        <f>B4+D15-D48-D50-D56+D57-D12</f>
        <v>-2.4192559067159891E-10</v>
      </c>
      <c r="E65" s="437">
        <f>D50+E15-E48-E50-E56+E57-E12+E62-E51+E14</f>
        <v>-9657.0000000006985</v>
      </c>
      <c r="F65" s="437"/>
      <c r="G65" s="437"/>
      <c r="H65" s="437"/>
      <c r="I65" s="437"/>
      <c r="J65" s="437"/>
      <c r="K65" s="437"/>
      <c r="L65" s="437"/>
      <c r="M65" s="437"/>
      <c r="N65" s="437"/>
      <c r="O65" s="437"/>
      <c r="P65" s="438"/>
      <c r="Q65" s="438"/>
      <c r="R65" s="438"/>
    </row>
    <row r="66" spans="1:19" s="439" customFormat="1" x14ac:dyDescent="0.25">
      <c r="A66" s="435"/>
      <c r="B66" s="438"/>
      <c r="C66" s="438"/>
      <c r="D66" s="437"/>
      <c r="E66" s="437"/>
      <c r="F66" s="437"/>
      <c r="G66" s="437"/>
      <c r="H66" s="437"/>
      <c r="I66" s="437"/>
      <c r="J66" s="437"/>
      <c r="K66" s="437"/>
      <c r="L66" s="440"/>
      <c r="M66" s="437"/>
      <c r="N66" s="437"/>
      <c r="O66" s="437"/>
      <c r="P66" s="438"/>
      <c r="Q66" s="438"/>
      <c r="R66" s="438"/>
    </row>
    <row r="67" spans="1:19" s="206" customFormat="1" x14ac:dyDescent="0.25">
      <c r="A67" s="284"/>
      <c r="B67" s="219"/>
      <c r="C67" s="219"/>
      <c r="D67" s="205"/>
      <c r="E67" s="205"/>
      <c r="F67" s="205"/>
      <c r="G67" s="205"/>
      <c r="H67" s="205"/>
      <c r="I67" s="205"/>
      <c r="J67" s="205"/>
      <c r="K67" s="205"/>
      <c r="L67" s="205"/>
      <c r="M67" s="205"/>
      <c r="N67" s="205"/>
      <c r="O67" s="205"/>
      <c r="P67" s="199"/>
      <c r="Q67" s="199"/>
      <c r="R67" s="199"/>
      <c r="S67" s="204"/>
    </row>
    <row r="68" spans="1:19" s="206" customFormat="1" x14ac:dyDescent="0.25">
      <c r="A68" s="284"/>
      <c r="B68" s="219"/>
      <c r="C68" s="219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199"/>
      <c r="Q68" s="199"/>
      <c r="R68" s="199"/>
      <c r="S68" s="204"/>
    </row>
    <row r="69" spans="1:19" s="206" customFormat="1" x14ac:dyDescent="0.25">
      <c r="A69" s="284"/>
      <c r="B69" s="219"/>
      <c r="C69" s="219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199"/>
      <c r="Q69" s="199"/>
      <c r="R69" s="199"/>
      <c r="S69" s="204"/>
    </row>
    <row r="70" spans="1:19" x14ac:dyDescent="0.25"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199"/>
      <c r="Q70" s="199"/>
      <c r="R70" s="199"/>
      <c r="S70" s="204"/>
    </row>
    <row r="72" spans="1:19" ht="15.75" customHeight="1" x14ac:dyDescent="0.25"/>
    <row r="73" spans="1:19" ht="15.75" customHeight="1" x14ac:dyDescent="0.25"/>
    <row r="74" spans="1:19" ht="15.75" customHeight="1" x14ac:dyDescent="0.25"/>
  </sheetData>
  <mergeCells count="5">
    <mergeCell ref="B59:B60"/>
    <mergeCell ref="B53:B54"/>
    <mergeCell ref="B56:B57"/>
    <mergeCell ref="B63:B65"/>
    <mergeCell ref="B62:C62"/>
  </mergeCells>
  <phoneticPr fontId="23" type="noConversion"/>
  <pageMargins left="0.25" right="0.25" top="0.75" bottom="0.75" header="0.3" footer="0.3"/>
  <pageSetup paperSize="9" scale="48" firstPageNumber="429496729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workbookViewId="0">
      <selection activeCell="H22" sqref="H22"/>
    </sheetView>
  </sheetViews>
  <sheetFormatPr defaultRowHeight="15" x14ac:dyDescent="0.25"/>
  <cols>
    <col min="4" max="4" width="9.85546875" bestFit="1" customWidth="1"/>
    <col min="6" max="6" width="13.5703125" customWidth="1"/>
    <col min="7" max="7" width="11.5703125" customWidth="1"/>
    <col min="8" max="8" width="11.42578125" customWidth="1"/>
    <col min="10" max="10" width="8.85546875" customWidth="1"/>
    <col min="11" max="19" width="10.85546875" customWidth="1"/>
    <col min="20" max="20" width="12.5703125" customWidth="1"/>
    <col min="21" max="21" width="9.85546875" customWidth="1"/>
  </cols>
  <sheetData>
    <row r="1" spans="1:21" ht="15.75" x14ac:dyDescent="0.25">
      <c r="A1" s="97" t="s">
        <v>67</v>
      </c>
      <c r="B1" s="98"/>
      <c r="C1" s="98"/>
      <c r="D1" s="98"/>
      <c r="E1" s="98"/>
      <c r="F1" s="97"/>
      <c r="G1" s="99"/>
      <c r="H1" s="100" t="s">
        <v>68</v>
      </c>
      <c r="I1" s="100"/>
      <c r="J1" s="100"/>
      <c r="K1" s="100"/>
      <c r="L1" s="100"/>
      <c r="M1" s="100"/>
      <c r="N1" s="100"/>
      <c r="O1" s="99"/>
      <c r="P1" s="99"/>
      <c r="Q1" s="99"/>
      <c r="R1" s="99"/>
      <c r="S1" s="99"/>
      <c r="T1" s="99"/>
    </row>
    <row r="2" spans="1:21" x14ac:dyDescent="0.25">
      <c r="A2" s="101" t="s">
        <v>69</v>
      </c>
      <c r="B2" s="85"/>
      <c r="C2" s="85"/>
      <c r="D2" s="85"/>
      <c r="E2" s="85"/>
      <c r="F2" s="410" t="s">
        <v>70</v>
      </c>
      <c r="G2" s="102" t="s">
        <v>71</v>
      </c>
      <c r="H2" s="9" t="s">
        <v>72</v>
      </c>
      <c r="I2" s="9"/>
      <c r="J2" s="9"/>
      <c r="K2" s="9"/>
      <c r="L2" s="9"/>
      <c r="M2" s="9"/>
      <c r="N2" s="9"/>
      <c r="O2" s="9"/>
      <c r="P2" s="9"/>
      <c r="Q2" s="9"/>
      <c r="R2" s="11"/>
      <c r="S2" s="11"/>
      <c r="T2" s="102" t="s">
        <v>73</v>
      </c>
    </row>
    <row r="3" spans="1:21" x14ac:dyDescent="0.25">
      <c r="A3" s="12"/>
      <c r="B3" s="13"/>
      <c r="C3" s="13"/>
      <c r="D3" s="13"/>
      <c r="E3" s="13"/>
      <c r="F3" s="411"/>
      <c r="G3" s="103" t="s">
        <v>74</v>
      </c>
      <c r="H3" s="104" t="s">
        <v>4</v>
      </c>
      <c r="I3" s="14" t="s">
        <v>5</v>
      </c>
      <c r="J3" s="14" t="s">
        <v>6</v>
      </c>
      <c r="K3" s="14" t="s">
        <v>7</v>
      </c>
      <c r="L3" s="14" t="s">
        <v>8</v>
      </c>
      <c r="M3" s="14" t="s">
        <v>9</v>
      </c>
      <c r="N3" s="14" t="s">
        <v>14</v>
      </c>
      <c r="O3" s="14" t="s">
        <v>15</v>
      </c>
      <c r="P3" s="14" t="s">
        <v>16</v>
      </c>
      <c r="Q3" s="14" t="s">
        <v>17</v>
      </c>
      <c r="R3" s="105" t="s">
        <v>18</v>
      </c>
      <c r="S3" s="105" t="s">
        <v>19</v>
      </c>
      <c r="T3" s="103"/>
    </row>
    <row r="4" spans="1:21" x14ac:dyDescent="0.25">
      <c r="A4" s="70" t="s">
        <v>75</v>
      </c>
      <c r="B4" s="71"/>
      <c r="C4" s="71"/>
      <c r="D4" s="71"/>
      <c r="E4" s="71"/>
      <c r="F4" s="106">
        <v>25090303</v>
      </c>
      <c r="G4" s="106">
        <f>F4/12</f>
        <v>2090858.5833333333</v>
      </c>
      <c r="H4" s="107">
        <v>2150745</v>
      </c>
      <c r="I4" s="108"/>
      <c r="J4" s="108"/>
      <c r="K4" s="108"/>
      <c r="L4" s="108"/>
      <c r="M4" s="108"/>
      <c r="N4" s="108"/>
      <c r="O4" s="108"/>
      <c r="P4" s="108"/>
      <c r="Q4" s="108"/>
      <c r="R4" s="109"/>
      <c r="S4" s="109"/>
      <c r="T4" s="110">
        <f t="shared" ref="T4:T9" si="0">SUM(H4:S4)</f>
        <v>2150745</v>
      </c>
      <c r="U4" s="111"/>
    </row>
    <row r="5" spans="1:21" x14ac:dyDescent="0.25">
      <c r="A5" s="70" t="s">
        <v>76</v>
      </c>
      <c r="B5" s="71"/>
      <c r="C5" s="71"/>
      <c r="D5" s="71"/>
      <c r="E5" s="7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/>
      <c r="S5" s="109"/>
      <c r="T5" s="110">
        <f t="shared" si="0"/>
        <v>0</v>
      </c>
    </row>
    <row r="6" spans="1:21" x14ac:dyDescent="0.25">
      <c r="A6" s="70" t="s">
        <v>77</v>
      </c>
      <c r="B6" s="71"/>
      <c r="C6" s="71"/>
      <c r="D6" s="71"/>
      <c r="E6" s="71"/>
      <c r="F6" s="112"/>
      <c r="G6" s="112"/>
      <c r="H6" s="107">
        <v>36280</v>
      </c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09"/>
      <c r="T6" s="110">
        <f t="shared" si="0"/>
        <v>36280</v>
      </c>
    </row>
    <row r="7" spans="1:21" x14ac:dyDescent="0.25">
      <c r="A7" s="70" t="s">
        <v>78</v>
      </c>
      <c r="B7" s="71"/>
      <c r="C7" s="71"/>
      <c r="D7" s="71"/>
      <c r="E7" s="71"/>
      <c r="F7" s="112"/>
      <c r="G7" s="112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  <c r="S7" s="109"/>
      <c r="T7" s="110">
        <f t="shared" si="0"/>
        <v>0</v>
      </c>
      <c r="U7" s="85"/>
    </row>
    <row r="8" spans="1:21" x14ac:dyDescent="0.25">
      <c r="A8" s="70" t="s">
        <v>79</v>
      </c>
      <c r="B8" s="71"/>
      <c r="C8" s="71"/>
      <c r="D8" s="71"/>
      <c r="E8" s="71"/>
      <c r="F8" s="112"/>
      <c r="G8" s="112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9"/>
      <c r="S8" s="109"/>
      <c r="T8" s="114">
        <f t="shared" si="0"/>
        <v>0</v>
      </c>
    </row>
    <row r="9" spans="1:21" x14ac:dyDescent="0.25">
      <c r="A9" s="112" t="s">
        <v>80</v>
      </c>
      <c r="B9" s="70"/>
      <c r="C9" s="71"/>
      <c r="D9" s="71"/>
      <c r="E9" s="71"/>
      <c r="F9" s="112"/>
      <c r="G9" s="112"/>
      <c r="H9" s="107">
        <f>15000+99836+10860</f>
        <v>125696</v>
      </c>
      <c r="I9" s="108"/>
      <c r="J9" s="112"/>
      <c r="K9" s="112"/>
      <c r="L9" s="112"/>
      <c r="M9" s="112"/>
      <c r="N9" s="112"/>
      <c r="O9" s="112"/>
      <c r="P9" s="108"/>
      <c r="Q9" s="112"/>
      <c r="R9" s="113"/>
      <c r="S9" s="113"/>
      <c r="T9" s="114">
        <f t="shared" si="0"/>
        <v>125696</v>
      </c>
    </row>
    <row r="10" spans="1:21" ht="15.75" x14ac:dyDescent="0.25">
      <c r="A10" s="115"/>
      <c r="B10" s="64" t="s">
        <v>81</v>
      </c>
      <c r="C10" s="64"/>
      <c r="D10" s="64"/>
      <c r="E10" s="64"/>
      <c r="F10" s="116">
        <f>SUM(F4:F9)</f>
        <v>25090303</v>
      </c>
      <c r="G10" s="116">
        <f>SUM(G4:G9)</f>
        <v>2090858.5833333333</v>
      </c>
      <c r="H10" s="117">
        <f>SUM(H4:H9)</f>
        <v>2312721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109"/>
      <c r="T10" s="110">
        <f>SUM(T4:T9)</f>
        <v>2312721</v>
      </c>
    </row>
    <row r="11" spans="1:21" x14ac:dyDescent="0.25">
      <c r="A11" s="71"/>
      <c r="B11" s="71"/>
      <c r="C11" s="71"/>
      <c r="D11" s="71"/>
      <c r="E11" s="71"/>
      <c r="F11" s="98" t="s">
        <v>82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18"/>
      <c r="S11" s="118"/>
      <c r="T11" s="98"/>
      <c r="U11" s="119" t="s">
        <v>83</v>
      </c>
    </row>
    <row r="12" spans="1:21" x14ac:dyDescent="0.25">
      <c r="A12" s="70" t="s">
        <v>28</v>
      </c>
      <c r="B12" s="71"/>
      <c r="C12" s="71"/>
      <c r="D12" s="71"/>
      <c r="E12" s="71"/>
      <c r="F12" s="120">
        <v>900000</v>
      </c>
      <c r="G12" s="120">
        <f t="shared" ref="G12:G32" si="1">F12/12</f>
        <v>75000</v>
      </c>
      <c r="H12" s="121">
        <v>63332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09"/>
      <c r="T12" s="122">
        <f t="shared" ref="T12:T32" si="2">SUM(H12:S12)</f>
        <v>63332</v>
      </c>
      <c r="U12" s="123">
        <f t="shared" ref="U12:U32" si="3">G12*12-T12</f>
        <v>836668</v>
      </c>
    </row>
    <row r="13" spans="1:21" x14ac:dyDescent="0.25">
      <c r="A13" s="12" t="s">
        <v>29</v>
      </c>
      <c r="B13" s="13"/>
      <c r="C13" s="13"/>
      <c r="D13" s="13"/>
      <c r="E13" s="13"/>
      <c r="F13" s="124">
        <v>160000</v>
      </c>
      <c r="G13" s="120">
        <f t="shared" si="1"/>
        <v>13333.333333333334</v>
      </c>
      <c r="H13" s="125">
        <v>11634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7"/>
      <c r="S13" s="127"/>
      <c r="T13" s="110">
        <f t="shared" si="2"/>
        <v>11634</v>
      </c>
      <c r="U13" s="128">
        <f t="shared" si="3"/>
        <v>148366</v>
      </c>
    </row>
    <row r="14" spans="1:21" x14ac:dyDescent="0.25">
      <c r="A14" s="70" t="s">
        <v>30</v>
      </c>
      <c r="B14" s="71"/>
      <c r="C14" s="71"/>
      <c r="D14" s="71"/>
      <c r="E14" s="76"/>
      <c r="F14" s="120">
        <v>140000</v>
      </c>
      <c r="G14" s="120">
        <f t="shared" si="1"/>
        <v>11666.666666666666</v>
      </c>
      <c r="H14" s="121">
        <v>6336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9"/>
      <c r="S14" s="109"/>
      <c r="T14" s="110">
        <f t="shared" si="2"/>
        <v>6336</v>
      </c>
      <c r="U14" s="123">
        <f t="shared" si="3"/>
        <v>133664</v>
      </c>
    </row>
    <row r="15" spans="1:21" x14ac:dyDescent="0.25">
      <c r="A15" s="12" t="s">
        <v>31</v>
      </c>
      <c r="B15" s="13"/>
      <c r="C15" s="13"/>
      <c r="D15" s="13"/>
      <c r="E15" s="77"/>
      <c r="F15" s="124">
        <v>300000</v>
      </c>
      <c r="G15" s="120">
        <f t="shared" si="1"/>
        <v>25000</v>
      </c>
      <c r="H15" s="125">
        <v>70000</v>
      </c>
      <c r="I15" s="126"/>
      <c r="J15" s="126"/>
      <c r="K15" s="126"/>
      <c r="L15" s="126"/>
      <c r="M15" s="126"/>
      <c r="N15" s="126"/>
      <c r="O15" s="126"/>
      <c r="P15" s="126"/>
      <c r="Q15" s="126"/>
      <c r="R15" s="127"/>
      <c r="S15" s="127"/>
      <c r="T15" s="110">
        <f t="shared" si="2"/>
        <v>70000</v>
      </c>
      <c r="U15" s="128">
        <f t="shared" si="3"/>
        <v>230000</v>
      </c>
    </row>
    <row r="16" spans="1:21" x14ac:dyDescent="0.25">
      <c r="A16" s="12" t="s">
        <v>32</v>
      </c>
      <c r="B16" s="13"/>
      <c r="C16" s="13"/>
      <c r="D16" s="13"/>
      <c r="E16" s="77"/>
      <c r="F16" s="124">
        <v>7890000</v>
      </c>
      <c r="G16" s="120">
        <f t="shared" si="1"/>
        <v>657500</v>
      </c>
      <c r="H16" s="125">
        <v>729871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7"/>
      <c r="S16" s="127"/>
      <c r="T16" s="110">
        <f t="shared" si="2"/>
        <v>729871</v>
      </c>
      <c r="U16" s="123">
        <f t="shared" si="3"/>
        <v>7160129</v>
      </c>
    </row>
    <row r="17" spans="1:23" x14ac:dyDescent="0.25">
      <c r="A17" s="12" t="s">
        <v>33</v>
      </c>
      <c r="B17" s="13"/>
      <c r="C17" s="13"/>
      <c r="D17" s="13"/>
      <c r="E17" s="13"/>
      <c r="F17" s="124">
        <v>500000</v>
      </c>
      <c r="G17" s="120">
        <f t="shared" si="1"/>
        <v>41666.666666666664</v>
      </c>
      <c r="H17" s="125">
        <v>9200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7"/>
      <c r="S17" s="127"/>
      <c r="T17" s="110">
        <f t="shared" si="2"/>
        <v>9200</v>
      </c>
      <c r="U17" s="128">
        <f t="shared" si="3"/>
        <v>490800</v>
      </c>
    </row>
    <row r="18" spans="1:23" x14ac:dyDescent="0.25">
      <c r="A18" s="12" t="s">
        <v>34</v>
      </c>
      <c r="B18" s="13"/>
      <c r="C18" s="13"/>
      <c r="D18" s="13"/>
      <c r="E18" s="13"/>
      <c r="F18" s="124">
        <v>2517000</v>
      </c>
      <c r="G18" s="120">
        <f t="shared" si="1"/>
        <v>209750</v>
      </c>
      <c r="H18" s="125">
        <v>215933</v>
      </c>
      <c r="I18" s="126"/>
      <c r="J18" s="126"/>
      <c r="K18" s="126"/>
      <c r="L18" s="126"/>
      <c r="M18" s="126"/>
      <c r="N18" s="126"/>
      <c r="O18" s="126"/>
      <c r="P18" s="126"/>
      <c r="Q18" s="126"/>
      <c r="R18" s="127"/>
      <c r="S18" s="127"/>
      <c r="T18" s="110">
        <f t="shared" si="2"/>
        <v>215933</v>
      </c>
      <c r="U18" s="123">
        <f t="shared" si="3"/>
        <v>2301067</v>
      </c>
    </row>
    <row r="19" spans="1:23" x14ac:dyDescent="0.25">
      <c r="A19" s="12" t="s">
        <v>84</v>
      </c>
      <c r="B19" s="13"/>
      <c r="C19" s="13"/>
      <c r="D19" s="13"/>
      <c r="E19" s="13"/>
      <c r="F19" s="124">
        <v>200000</v>
      </c>
      <c r="G19" s="120">
        <f t="shared" si="1"/>
        <v>16666.666666666668</v>
      </c>
      <c r="H19" s="125">
        <v>0</v>
      </c>
      <c r="I19" s="126"/>
      <c r="J19" s="126"/>
      <c r="K19" s="126"/>
      <c r="L19" s="126"/>
      <c r="M19" s="126"/>
      <c r="N19" s="126"/>
      <c r="O19" s="126"/>
      <c r="P19" s="126"/>
      <c r="Q19" s="126"/>
      <c r="R19" s="127"/>
      <c r="S19" s="127"/>
      <c r="T19" s="122">
        <f t="shared" si="2"/>
        <v>0</v>
      </c>
      <c r="U19" s="128">
        <f t="shared" si="3"/>
        <v>200000</v>
      </c>
    </row>
    <row r="20" spans="1:23" x14ac:dyDescent="0.25">
      <c r="A20" s="70" t="s">
        <v>36</v>
      </c>
      <c r="B20" s="71"/>
      <c r="C20" s="71"/>
      <c r="D20" s="71"/>
      <c r="E20" s="71"/>
      <c r="F20" s="120">
        <v>1950000</v>
      </c>
      <c r="G20" s="120">
        <f t="shared" si="1"/>
        <v>162500</v>
      </c>
      <c r="H20" s="129">
        <v>179000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9"/>
      <c r="S20" s="109"/>
      <c r="T20" s="110">
        <f t="shared" si="2"/>
        <v>179000</v>
      </c>
      <c r="U20" s="123">
        <f t="shared" si="3"/>
        <v>1771000</v>
      </c>
    </row>
    <row r="21" spans="1:23" x14ac:dyDescent="0.25">
      <c r="A21" s="70" t="s">
        <v>37</v>
      </c>
      <c r="B21" s="71"/>
      <c r="C21" s="71"/>
      <c r="D21" s="71"/>
      <c r="E21" s="76"/>
      <c r="F21" s="120">
        <v>7400000</v>
      </c>
      <c r="G21" s="120">
        <f t="shared" si="1"/>
        <v>616666.66666666663</v>
      </c>
      <c r="H21" s="121">
        <v>566600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9"/>
      <c r="S21" s="109"/>
      <c r="T21" s="110">
        <f t="shared" si="2"/>
        <v>566600</v>
      </c>
      <c r="U21" s="128">
        <f t="shared" si="3"/>
        <v>6833400</v>
      </c>
    </row>
    <row r="22" spans="1:23" x14ac:dyDescent="0.25">
      <c r="A22" s="12" t="s">
        <v>38</v>
      </c>
      <c r="B22" s="13"/>
      <c r="C22" s="13"/>
      <c r="D22" s="13"/>
      <c r="E22" s="13"/>
      <c r="F22" s="124">
        <v>230000</v>
      </c>
      <c r="G22" s="120">
        <f t="shared" si="1"/>
        <v>19166.666666666668</v>
      </c>
      <c r="H22" s="125">
        <v>17252</v>
      </c>
      <c r="I22" s="126"/>
      <c r="J22" s="126"/>
      <c r="K22" s="126"/>
      <c r="L22" s="126"/>
      <c r="M22" s="126"/>
      <c r="N22" s="126"/>
      <c r="O22" s="126"/>
      <c r="P22" s="126"/>
      <c r="Q22" s="126"/>
      <c r="R22" s="127"/>
      <c r="S22" s="127"/>
      <c r="T22" s="110">
        <f t="shared" si="2"/>
        <v>17252</v>
      </c>
      <c r="U22" s="123">
        <f t="shared" si="3"/>
        <v>212748</v>
      </c>
    </row>
    <row r="23" spans="1:23" x14ac:dyDescent="0.25">
      <c r="A23" s="70" t="s">
        <v>39</v>
      </c>
      <c r="B23" s="71"/>
      <c r="C23" s="71"/>
      <c r="D23" s="71"/>
      <c r="E23" s="71"/>
      <c r="F23" s="120">
        <v>1240000</v>
      </c>
      <c r="G23" s="120">
        <f t="shared" si="1"/>
        <v>103333.33333333333</v>
      </c>
      <c r="H23" s="121">
        <v>128037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9"/>
      <c r="S23" s="109"/>
      <c r="T23" s="110">
        <f t="shared" si="2"/>
        <v>128037</v>
      </c>
      <c r="U23" s="128">
        <f t="shared" si="3"/>
        <v>1111963</v>
      </c>
    </row>
    <row r="24" spans="1:23" x14ac:dyDescent="0.25">
      <c r="A24" s="70" t="s">
        <v>85</v>
      </c>
      <c r="B24" s="71"/>
      <c r="C24" s="71"/>
      <c r="D24" s="71"/>
      <c r="E24" s="71"/>
      <c r="F24" s="120">
        <f>250000+480000</f>
        <v>730000</v>
      </c>
      <c r="G24" s="120">
        <f t="shared" si="1"/>
        <v>60833.333333333336</v>
      </c>
      <c r="H24" s="121">
        <v>72400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109"/>
      <c r="T24" s="110">
        <f t="shared" si="2"/>
        <v>72400</v>
      </c>
      <c r="U24" s="123">
        <f t="shared" si="3"/>
        <v>657600</v>
      </c>
    </row>
    <row r="25" spans="1:23" x14ac:dyDescent="0.25">
      <c r="A25" s="70" t="s">
        <v>41</v>
      </c>
      <c r="B25" s="71"/>
      <c r="C25" s="71"/>
      <c r="D25" s="71"/>
      <c r="E25" s="71"/>
      <c r="F25" s="120">
        <v>250000</v>
      </c>
      <c r="G25" s="120">
        <f t="shared" si="1"/>
        <v>20833.333333333332</v>
      </c>
      <c r="H25" s="121">
        <v>1080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9"/>
      <c r="S25" s="109"/>
      <c r="T25" s="122">
        <f t="shared" si="2"/>
        <v>1080</v>
      </c>
      <c r="U25" s="128">
        <f t="shared" si="3"/>
        <v>248920</v>
      </c>
    </row>
    <row r="26" spans="1:23" x14ac:dyDescent="0.25">
      <c r="A26" s="70" t="s">
        <v>42</v>
      </c>
      <c r="B26" s="71"/>
      <c r="C26" s="71"/>
      <c r="D26" s="71"/>
      <c r="E26" s="71"/>
      <c r="F26" s="120">
        <v>1800000</v>
      </c>
      <c r="G26" s="120">
        <f t="shared" si="1"/>
        <v>150000</v>
      </c>
      <c r="H26" s="121">
        <v>98486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109"/>
      <c r="T26" s="110">
        <f t="shared" si="2"/>
        <v>98486</v>
      </c>
      <c r="U26" s="123">
        <f t="shared" si="3"/>
        <v>1701514</v>
      </c>
    </row>
    <row r="27" spans="1:23" x14ac:dyDescent="0.25">
      <c r="A27" s="70" t="s">
        <v>43</v>
      </c>
      <c r="B27" s="71"/>
      <c r="C27" s="71"/>
      <c r="D27" s="71"/>
      <c r="E27" s="71"/>
      <c r="F27" s="120">
        <v>1700000</v>
      </c>
      <c r="G27" s="120">
        <f t="shared" si="1"/>
        <v>141666.66666666666</v>
      </c>
      <c r="H27" s="129">
        <v>0</v>
      </c>
      <c r="I27" s="108"/>
      <c r="J27" s="108"/>
      <c r="K27" s="112"/>
      <c r="L27" s="112"/>
      <c r="M27" s="112"/>
      <c r="N27" s="108"/>
      <c r="O27" s="108"/>
      <c r="P27" s="108"/>
      <c r="Q27" s="108"/>
      <c r="R27" s="109"/>
      <c r="S27" s="109"/>
      <c r="T27" s="122">
        <f t="shared" si="2"/>
        <v>0</v>
      </c>
      <c r="U27" s="128">
        <f t="shared" si="3"/>
        <v>1700000</v>
      </c>
    </row>
    <row r="28" spans="1:23" x14ac:dyDescent="0.25">
      <c r="A28" s="70" t="s">
        <v>86</v>
      </c>
      <c r="B28" s="71"/>
      <c r="C28" s="71"/>
      <c r="D28" s="71"/>
      <c r="E28" s="71"/>
      <c r="F28" s="120"/>
      <c r="G28" s="120">
        <f t="shared" si="1"/>
        <v>0</v>
      </c>
      <c r="H28" s="108">
        <v>0</v>
      </c>
      <c r="I28" s="108"/>
      <c r="J28" s="108"/>
      <c r="K28" s="112"/>
      <c r="L28" s="112"/>
      <c r="M28" s="112"/>
      <c r="N28" s="108"/>
      <c r="O28" s="108"/>
      <c r="P28" s="108"/>
      <c r="Q28" s="108"/>
      <c r="R28" s="109"/>
      <c r="S28" s="109"/>
      <c r="T28" s="122">
        <f t="shared" si="2"/>
        <v>0</v>
      </c>
      <c r="U28" s="123">
        <f t="shared" si="3"/>
        <v>0</v>
      </c>
    </row>
    <row r="29" spans="1:23" x14ac:dyDescent="0.25">
      <c r="A29" s="70" t="s">
        <v>87</v>
      </c>
      <c r="B29" s="71"/>
      <c r="C29" s="71"/>
      <c r="D29" s="71"/>
      <c r="E29" s="71"/>
      <c r="F29" s="120">
        <v>600000</v>
      </c>
      <c r="G29" s="120">
        <f t="shared" si="1"/>
        <v>50000</v>
      </c>
      <c r="H29" s="121">
        <v>22864</v>
      </c>
      <c r="I29" s="108"/>
      <c r="J29" s="108"/>
      <c r="K29" s="112"/>
      <c r="L29" s="112"/>
      <c r="M29" s="112"/>
      <c r="N29" s="108"/>
      <c r="O29" s="108"/>
      <c r="P29" s="108"/>
      <c r="Q29" s="108"/>
      <c r="R29" s="109"/>
      <c r="S29" s="109"/>
      <c r="T29" s="110">
        <f t="shared" si="2"/>
        <v>22864</v>
      </c>
      <c r="U29" s="128">
        <f t="shared" si="3"/>
        <v>577136</v>
      </c>
    </row>
    <row r="30" spans="1:23" x14ac:dyDescent="0.25">
      <c r="A30" s="70" t="s">
        <v>45</v>
      </c>
      <c r="B30" s="71"/>
      <c r="C30" s="71"/>
      <c r="D30" s="71"/>
      <c r="E30" s="71"/>
      <c r="F30" s="120">
        <v>250000</v>
      </c>
      <c r="G30" s="120">
        <f t="shared" si="1"/>
        <v>20833.333333333332</v>
      </c>
      <c r="H30" s="121">
        <v>11304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9"/>
      <c r="S30" s="109"/>
      <c r="T30" s="110">
        <f t="shared" si="2"/>
        <v>11304</v>
      </c>
      <c r="U30" s="123">
        <f t="shared" si="3"/>
        <v>238696</v>
      </c>
    </row>
    <row r="31" spans="1:23" x14ac:dyDescent="0.25">
      <c r="A31" s="70" t="s">
        <v>88</v>
      </c>
      <c r="B31" s="71"/>
      <c r="C31" s="71"/>
      <c r="D31" s="71"/>
      <c r="E31" s="71"/>
      <c r="F31" s="120">
        <v>719200</v>
      </c>
      <c r="G31" s="120">
        <f t="shared" si="1"/>
        <v>59933.333333333336</v>
      </c>
      <c r="H31" s="108">
        <v>0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9"/>
      <c r="S31" s="109"/>
      <c r="T31" s="110">
        <f t="shared" si="2"/>
        <v>0</v>
      </c>
      <c r="U31" s="128">
        <f t="shared" si="3"/>
        <v>719200</v>
      </c>
    </row>
    <row r="32" spans="1:23" x14ac:dyDescent="0.25">
      <c r="A32" s="70" t="s">
        <v>47</v>
      </c>
      <c r="B32" s="71"/>
      <c r="C32" s="71"/>
      <c r="D32" s="71"/>
      <c r="E32" s="71"/>
      <c r="F32" s="120">
        <v>1473800</v>
      </c>
      <c r="G32" s="120">
        <f t="shared" si="1"/>
        <v>122816.66666666667</v>
      </c>
      <c r="H32" s="108">
        <v>0</v>
      </c>
      <c r="I32" s="108"/>
      <c r="J32" s="108"/>
      <c r="K32" s="112"/>
      <c r="L32" s="112"/>
      <c r="M32" s="112"/>
      <c r="N32" s="108"/>
      <c r="O32" s="108"/>
      <c r="P32" s="108"/>
      <c r="Q32" s="108"/>
      <c r="R32" s="109"/>
      <c r="S32" s="109"/>
      <c r="T32" s="122">
        <f t="shared" si="2"/>
        <v>0</v>
      </c>
      <c r="U32" s="128">
        <f t="shared" si="3"/>
        <v>1473800</v>
      </c>
      <c r="V32" s="85"/>
      <c r="W32" s="85"/>
    </row>
    <row r="33" spans="1:21" ht="15.75" x14ac:dyDescent="0.25">
      <c r="A33" s="130" t="s">
        <v>89</v>
      </c>
      <c r="B33" s="98"/>
      <c r="C33" s="71"/>
      <c r="D33" s="71"/>
      <c r="E33" s="71"/>
      <c r="F33" s="131">
        <f>SUM(F12:F32)</f>
        <v>30950000</v>
      </c>
      <c r="G33" s="131">
        <f>SUM(G12:G32)</f>
        <v>2579166.6666666665</v>
      </c>
      <c r="H33" s="131">
        <f>SUM(H12:H32)</f>
        <v>2203329</v>
      </c>
      <c r="I33" s="108">
        <f t="shared" ref="I33:T33" si="4">SUM(I12:I32)</f>
        <v>0</v>
      </c>
      <c r="J33" s="108">
        <f t="shared" si="4"/>
        <v>0</v>
      </c>
      <c r="K33" s="108">
        <f t="shared" si="4"/>
        <v>0</v>
      </c>
      <c r="L33" s="108">
        <f t="shared" si="4"/>
        <v>0</v>
      </c>
      <c r="M33" s="108">
        <f t="shared" si="4"/>
        <v>0</v>
      </c>
      <c r="N33" s="108">
        <f t="shared" si="4"/>
        <v>0</v>
      </c>
      <c r="O33" s="108">
        <f t="shared" si="4"/>
        <v>0</v>
      </c>
      <c r="P33" s="108">
        <f t="shared" si="4"/>
        <v>0</v>
      </c>
      <c r="Q33" s="108">
        <f t="shared" si="4"/>
        <v>0</v>
      </c>
      <c r="R33" s="109">
        <f t="shared" si="4"/>
        <v>0</v>
      </c>
      <c r="S33" s="109">
        <f t="shared" si="4"/>
        <v>0</v>
      </c>
      <c r="T33" s="110">
        <f t="shared" si="4"/>
        <v>2203329</v>
      </c>
      <c r="U33" s="123">
        <f>SUM(U12:U32)</f>
        <v>28746671</v>
      </c>
    </row>
    <row r="35" spans="1:21" x14ac:dyDescent="0.25">
      <c r="Q35" s="132"/>
    </row>
    <row r="37" spans="1:21" x14ac:dyDescent="0.25">
      <c r="T37" s="111"/>
    </row>
    <row r="40" spans="1:21" x14ac:dyDescent="0.25">
      <c r="O40" s="85"/>
    </row>
  </sheetData>
  <mergeCells count="1">
    <mergeCell ref="F2:F3"/>
  </mergeCells>
  <phoneticPr fontId="23" type="noConversion"/>
  <pageMargins left="0.70866141732283472" right="0.70866141732283472" top="0" bottom="0" header="0" footer="0"/>
  <pageSetup paperSize="9" firstPageNumber="4294967295" orientation="landscape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02"/>
  <sheetViews>
    <sheetView topLeftCell="A10" zoomScale="115" workbookViewId="0">
      <selection activeCell="C26" sqref="C26"/>
    </sheetView>
  </sheetViews>
  <sheetFormatPr defaultRowHeight="15" x14ac:dyDescent="0.25"/>
  <cols>
    <col min="1" max="1" width="36" style="94" customWidth="1"/>
    <col min="2" max="2" width="12.7109375" style="96" bestFit="1" customWidth="1"/>
    <col min="3" max="3" width="9.140625" style="96" bestFit="1" customWidth="1"/>
    <col min="4" max="4" width="9.28515625" style="96" bestFit="1" customWidth="1"/>
    <col min="5" max="5" width="9.42578125" style="96" bestFit="1" customWidth="1"/>
    <col min="6" max="7" width="9.28515625" style="96" bestFit="1" customWidth="1"/>
    <col min="8" max="8" width="10.28515625" style="96" bestFit="1" customWidth="1"/>
    <col min="9" max="9" width="9.28515625" style="96" bestFit="1" customWidth="1"/>
    <col min="10" max="11" width="10.28515625" style="96" bestFit="1" customWidth="1"/>
    <col min="12" max="12" width="9.28515625" style="96" bestFit="1" customWidth="1"/>
    <col min="13" max="13" width="11.85546875" style="96" bestFit="1" customWidth="1"/>
    <col min="14" max="14" width="10.28515625" style="95" bestFit="1" customWidth="1"/>
  </cols>
  <sheetData>
    <row r="1" spans="1:14" x14ac:dyDescent="0.25">
      <c r="A1" s="133" t="s">
        <v>28</v>
      </c>
      <c r="B1" s="189" t="str">
        <f>'ВСЕ затраты'!B1</f>
        <v>2024-2025гг.</v>
      </c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36"/>
    </row>
    <row r="2" spans="1:14" x14ac:dyDescent="0.25">
      <c r="A2" s="137"/>
      <c r="B2" s="179" t="s">
        <v>9</v>
      </c>
      <c r="C2" s="185" t="s">
        <v>14</v>
      </c>
      <c r="D2" s="190" t="s">
        <v>15</v>
      </c>
      <c r="E2" s="185" t="s">
        <v>16</v>
      </c>
      <c r="F2" s="185" t="s">
        <v>17</v>
      </c>
      <c r="G2" s="185" t="s">
        <v>18</v>
      </c>
      <c r="H2" s="185" t="s">
        <v>19</v>
      </c>
      <c r="I2" s="185" t="s">
        <v>4</v>
      </c>
      <c r="J2" s="185" t="s">
        <v>5</v>
      </c>
      <c r="K2" s="185" t="s">
        <v>6</v>
      </c>
      <c r="L2" s="185" t="s">
        <v>7</v>
      </c>
      <c r="M2" s="185" t="s">
        <v>8</v>
      </c>
      <c r="N2" s="141" t="s">
        <v>90</v>
      </c>
    </row>
    <row r="3" spans="1:14" x14ac:dyDescent="0.25">
      <c r="A3" s="146" t="s">
        <v>91</v>
      </c>
      <c r="B3" s="325">
        <v>11000</v>
      </c>
      <c r="C3" s="325">
        <v>11000</v>
      </c>
      <c r="D3" s="326"/>
      <c r="E3" s="325"/>
      <c r="F3" s="325"/>
      <c r="G3" s="325"/>
      <c r="H3" s="325"/>
      <c r="I3" s="325"/>
      <c r="J3" s="325"/>
      <c r="K3" s="325"/>
      <c r="L3" s="325"/>
      <c r="M3" s="325"/>
      <c r="N3" s="145">
        <f t="shared" ref="N3:N18" si="0">SUM(B3:M3)</f>
        <v>22000</v>
      </c>
    </row>
    <row r="4" spans="1:14" x14ac:dyDescent="0.25">
      <c r="A4" s="146" t="s">
        <v>92</v>
      </c>
      <c r="B4" s="325">
        <v>9000</v>
      </c>
      <c r="C4" s="327">
        <v>900</v>
      </c>
      <c r="D4" s="328"/>
      <c r="E4" s="327"/>
      <c r="F4" s="327"/>
      <c r="G4" s="327"/>
      <c r="H4" s="327"/>
      <c r="I4" s="327"/>
      <c r="J4" s="327"/>
      <c r="K4" s="327"/>
      <c r="L4" s="327"/>
      <c r="M4" s="327"/>
      <c r="N4" s="145">
        <f t="shared" si="0"/>
        <v>9900</v>
      </c>
    </row>
    <row r="5" spans="1:14" x14ac:dyDescent="0.25">
      <c r="A5" s="146" t="s">
        <v>93</v>
      </c>
      <c r="B5" s="325">
        <v>8502.85</v>
      </c>
      <c r="C5" s="325">
        <v>12309.94</v>
      </c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145">
        <f t="shared" si="0"/>
        <v>20812.79</v>
      </c>
    </row>
    <row r="6" spans="1:14" x14ac:dyDescent="0.25">
      <c r="A6" s="146" t="s">
        <v>109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45">
        <f t="shared" si="0"/>
        <v>0</v>
      </c>
    </row>
    <row r="7" spans="1:14" x14ac:dyDescent="0.25">
      <c r="A7" s="149" t="s">
        <v>151</v>
      </c>
      <c r="B7" s="179">
        <f>1050+1200</f>
        <v>2250</v>
      </c>
      <c r="C7" s="181"/>
      <c r="D7" s="183"/>
      <c r="E7" s="181"/>
      <c r="F7" s="181"/>
      <c r="G7" s="181"/>
      <c r="H7" s="181"/>
      <c r="I7" s="181"/>
      <c r="J7" s="181"/>
      <c r="K7" s="181"/>
      <c r="L7" s="181"/>
      <c r="M7" s="181"/>
      <c r="N7" s="145">
        <f t="shared" si="0"/>
        <v>2250</v>
      </c>
    </row>
    <row r="8" spans="1:14" x14ac:dyDescent="0.25">
      <c r="A8" s="148" t="s">
        <v>152</v>
      </c>
      <c r="B8" s="179">
        <v>6727</v>
      </c>
      <c r="C8" s="179"/>
      <c r="D8" s="180"/>
      <c r="E8" s="179"/>
      <c r="F8" s="179"/>
      <c r="G8" s="179"/>
      <c r="H8" s="179"/>
      <c r="I8" s="179"/>
      <c r="J8" s="179"/>
      <c r="K8" s="179"/>
      <c r="L8" s="179"/>
      <c r="M8" s="179"/>
      <c r="N8" s="145">
        <f t="shared" si="0"/>
        <v>6727</v>
      </c>
    </row>
    <row r="9" spans="1:14" x14ac:dyDescent="0.25">
      <c r="A9" s="374" t="s">
        <v>153</v>
      </c>
      <c r="B9" s="179">
        <f>338+3160.7</f>
        <v>3498.7</v>
      </c>
      <c r="C9" s="181"/>
      <c r="D9" s="183"/>
      <c r="E9" s="181"/>
      <c r="F9" s="181"/>
      <c r="G9" s="181"/>
      <c r="H9" s="181"/>
      <c r="I9" s="181"/>
      <c r="J9" s="181"/>
      <c r="K9" s="181"/>
      <c r="L9" s="181"/>
      <c r="M9" s="181"/>
      <c r="N9" s="145">
        <f t="shared" si="0"/>
        <v>3498.7</v>
      </c>
    </row>
    <row r="10" spans="1:14" x14ac:dyDescent="0.25">
      <c r="A10" s="148" t="s">
        <v>155</v>
      </c>
      <c r="B10" s="179">
        <f>598+2118</f>
        <v>2716</v>
      </c>
      <c r="C10" s="181"/>
      <c r="D10" s="183"/>
      <c r="E10" s="181"/>
      <c r="F10" s="181"/>
      <c r="G10" s="181"/>
      <c r="H10" s="181"/>
      <c r="I10" s="181"/>
      <c r="J10" s="181"/>
      <c r="K10" s="181"/>
      <c r="L10" s="181"/>
      <c r="M10" s="181"/>
      <c r="N10" s="145">
        <f t="shared" si="0"/>
        <v>2716</v>
      </c>
    </row>
    <row r="11" spans="1:14" x14ac:dyDescent="0.25">
      <c r="A11" s="148" t="s">
        <v>160</v>
      </c>
      <c r="B11" s="179">
        <v>5500</v>
      </c>
      <c r="C11" s="181"/>
      <c r="D11" s="183"/>
      <c r="E11" s="181"/>
      <c r="F11" s="181"/>
      <c r="G11" s="181"/>
      <c r="H11" s="181"/>
      <c r="I11" s="181"/>
      <c r="J11" s="181"/>
      <c r="K11" s="181"/>
      <c r="L11" s="181"/>
      <c r="M11" s="181"/>
      <c r="N11" s="145">
        <f>SUM(B11:M11)</f>
        <v>5500</v>
      </c>
    </row>
    <row r="12" spans="1:14" x14ac:dyDescent="0.25">
      <c r="A12" s="150" t="s">
        <v>164</v>
      </c>
      <c r="B12" s="179">
        <v>1800</v>
      </c>
      <c r="C12" s="181"/>
      <c r="D12" s="183"/>
      <c r="E12" s="181"/>
      <c r="F12" s="181"/>
      <c r="G12" s="181"/>
      <c r="H12" s="181"/>
      <c r="I12" s="181"/>
      <c r="J12" s="181"/>
      <c r="K12" s="181"/>
      <c r="L12" s="181"/>
      <c r="M12" s="181"/>
      <c r="N12" s="145">
        <f t="shared" si="0"/>
        <v>1800</v>
      </c>
    </row>
    <row r="13" spans="1:14" x14ac:dyDescent="0.25">
      <c r="A13" s="373" t="s">
        <v>115</v>
      </c>
      <c r="B13" s="179">
        <f>349+174.5+79+99+69</f>
        <v>770.5</v>
      </c>
      <c r="C13" s="181">
        <f>199.99</f>
        <v>199.99</v>
      </c>
      <c r="D13" s="183"/>
      <c r="E13" s="181"/>
      <c r="F13" s="181"/>
      <c r="G13" s="181"/>
      <c r="H13" s="181"/>
      <c r="I13" s="181"/>
      <c r="J13" s="181"/>
      <c r="K13" s="181"/>
      <c r="L13" s="181"/>
      <c r="M13" s="181"/>
      <c r="N13" s="145">
        <f t="shared" si="0"/>
        <v>970.49</v>
      </c>
    </row>
    <row r="14" spans="1:14" x14ac:dyDescent="0.25">
      <c r="A14" s="150" t="s">
        <v>165</v>
      </c>
      <c r="B14" s="179">
        <v>268</v>
      </c>
      <c r="C14" s="181"/>
      <c r="D14" s="183"/>
      <c r="E14" s="181"/>
      <c r="F14" s="181"/>
      <c r="G14" s="181"/>
      <c r="H14" s="181"/>
      <c r="I14" s="181"/>
      <c r="J14" s="181"/>
      <c r="K14" s="181"/>
      <c r="L14" s="181"/>
      <c r="M14" s="181"/>
      <c r="N14" s="145">
        <f t="shared" si="0"/>
        <v>268</v>
      </c>
    </row>
    <row r="15" spans="1:14" x14ac:dyDescent="0.25">
      <c r="A15" s="372" t="s">
        <v>166</v>
      </c>
      <c r="B15" s="179">
        <f>31+455.01</f>
        <v>486.01</v>
      </c>
      <c r="C15" s="181">
        <f>432.04+60+31</f>
        <v>523.04</v>
      </c>
      <c r="D15" s="183"/>
      <c r="E15" s="181"/>
      <c r="F15" s="181"/>
      <c r="G15" s="181"/>
      <c r="H15" s="181"/>
      <c r="I15" s="181"/>
      <c r="J15" s="181"/>
      <c r="K15" s="181"/>
      <c r="L15" s="181"/>
      <c r="M15" s="181"/>
      <c r="N15" s="145">
        <f t="shared" si="0"/>
        <v>1009.05</v>
      </c>
    </row>
    <row r="16" spans="1:14" x14ac:dyDescent="0.25">
      <c r="A16" s="150" t="s">
        <v>167</v>
      </c>
      <c r="B16" s="179">
        <f>1904+1035</f>
        <v>2939</v>
      </c>
      <c r="C16" s="181"/>
      <c r="D16" s="183"/>
      <c r="E16" s="181"/>
      <c r="F16" s="181"/>
      <c r="G16" s="181"/>
      <c r="H16" s="181"/>
      <c r="I16" s="181"/>
      <c r="J16" s="181"/>
      <c r="K16" s="181"/>
      <c r="L16" s="181"/>
      <c r="M16" s="181"/>
      <c r="N16" s="145">
        <f t="shared" si="0"/>
        <v>2939</v>
      </c>
    </row>
    <row r="17" spans="1:14" x14ac:dyDescent="0.25">
      <c r="A17" s="150" t="s">
        <v>175</v>
      </c>
      <c r="B17" s="179">
        <f>750+1400</f>
        <v>2150</v>
      </c>
      <c r="C17" s="181"/>
      <c r="D17" s="183"/>
      <c r="E17" s="181"/>
      <c r="F17" s="181"/>
      <c r="G17" s="181"/>
      <c r="H17" s="181"/>
      <c r="I17" s="181"/>
      <c r="J17" s="181"/>
      <c r="K17" s="181"/>
      <c r="L17" s="181"/>
      <c r="M17" s="181"/>
      <c r="N17" s="145">
        <f t="shared" si="0"/>
        <v>2150</v>
      </c>
    </row>
    <row r="18" spans="1:14" x14ac:dyDescent="0.25">
      <c r="A18" s="150" t="s">
        <v>176</v>
      </c>
      <c r="B18" s="179">
        <v>6380</v>
      </c>
      <c r="C18" s="181"/>
      <c r="D18" s="183"/>
      <c r="E18" s="181"/>
      <c r="F18" s="181"/>
      <c r="G18" s="181"/>
      <c r="H18" s="181"/>
      <c r="I18" s="181"/>
      <c r="J18" s="181"/>
      <c r="K18" s="181"/>
      <c r="L18" s="181"/>
      <c r="M18" s="181"/>
      <c r="N18" s="145">
        <f t="shared" si="0"/>
        <v>6380</v>
      </c>
    </row>
    <row r="19" spans="1:14" x14ac:dyDescent="0.25">
      <c r="A19" s="150" t="s">
        <v>177</v>
      </c>
      <c r="B19" s="179">
        <v>15545</v>
      </c>
      <c r="C19" s="181"/>
      <c r="D19" s="183"/>
      <c r="E19" s="181"/>
      <c r="F19" s="181"/>
      <c r="G19" s="181"/>
      <c r="H19" s="181"/>
      <c r="I19" s="181"/>
      <c r="J19" s="181"/>
      <c r="K19" s="181"/>
      <c r="L19" s="181"/>
      <c r="M19" s="181"/>
      <c r="N19" s="145">
        <f t="shared" ref="N19:N39" si="1">SUM(B19:M19)</f>
        <v>15545</v>
      </c>
    </row>
    <row r="20" spans="1:14" x14ac:dyDescent="0.25">
      <c r="A20" s="375" t="s">
        <v>113</v>
      </c>
      <c r="B20" s="179">
        <f>800+360+600+200</f>
        <v>1960</v>
      </c>
      <c r="C20" s="181"/>
      <c r="D20" s="183"/>
      <c r="E20" s="181"/>
      <c r="F20" s="181"/>
      <c r="G20" s="181"/>
      <c r="H20" s="181"/>
      <c r="I20" s="181"/>
      <c r="J20" s="181"/>
      <c r="K20" s="181"/>
      <c r="L20" s="181"/>
      <c r="M20" s="181"/>
      <c r="N20" s="145">
        <f t="shared" si="1"/>
        <v>1960</v>
      </c>
    </row>
    <row r="21" spans="1:14" x14ac:dyDescent="0.25">
      <c r="A21" s="150" t="s">
        <v>182</v>
      </c>
      <c r="B21" s="179">
        <f>1330+1040+820</f>
        <v>3190</v>
      </c>
      <c r="C21" s="181"/>
      <c r="D21" s="183"/>
      <c r="E21" s="181"/>
      <c r="F21" s="181"/>
      <c r="G21" s="181"/>
      <c r="H21" s="181"/>
      <c r="I21" s="181"/>
      <c r="J21" s="181"/>
      <c r="K21" s="181"/>
      <c r="L21" s="181"/>
      <c r="M21" s="181"/>
      <c r="N21" s="145">
        <f t="shared" si="1"/>
        <v>3190</v>
      </c>
    </row>
    <row r="22" spans="1:14" x14ac:dyDescent="0.25">
      <c r="A22" s="150" t="s">
        <v>183</v>
      </c>
      <c r="B22" s="179">
        <v>520</v>
      </c>
      <c r="C22" s="181"/>
      <c r="D22" s="183"/>
      <c r="E22" s="181"/>
      <c r="F22" s="181"/>
      <c r="G22" s="181"/>
      <c r="H22" s="181"/>
      <c r="I22" s="181"/>
      <c r="J22" s="181"/>
      <c r="K22" s="181"/>
      <c r="L22" s="181"/>
      <c r="M22" s="181"/>
      <c r="N22" s="145">
        <f t="shared" si="1"/>
        <v>520</v>
      </c>
    </row>
    <row r="23" spans="1:14" x14ac:dyDescent="0.25">
      <c r="A23" s="150" t="s">
        <v>184</v>
      </c>
      <c r="B23" s="179">
        <v>1040</v>
      </c>
      <c r="C23" s="181"/>
      <c r="D23" s="183"/>
      <c r="E23" s="181"/>
      <c r="F23" s="181"/>
      <c r="G23" s="181"/>
      <c r="H23" s="181"/>
      <c r="I23" s="181"/>
      <c r="J23" s="181"/>
      <c r="K23" s="181"/>
      <c r="L23" s="181"/>
      <c r="M23" s="181"/>
      <c r="N23" s="145">
        <f t="shared" si="1"/>
        <v>1040</v>
      </c>
    </row>
    <row r="24" spans="1:14" x14ac:dyDescent="0.25">
      <c r="A24" s="150" t="s">
        <v>194</v>
      </c>
      <c r="B24" s="179"/>
      <c r="C24" s="181">
        <v>6727</v>
      </c>
      <c r="D24" s="183"/>
      <c r="E24" s="181"/>
      <c r="F24" s="181"/>
      <c r="G24" s="181"/>
      <c r="H24" s="181"/>
      <c r="I24" s="181"/>
      <c r="J24" s="181"/>
      <c r="K24" s="181"/>
      <c r="L24" s="181"/>
      <c r="M24" s="181"/>
      <c r="N24" s="145">
        <f t="shared" si="1"/>
        <v>6727</v>
      </c>
    </row>
    <row r="25" spans="1:14" x14ac:dyDescent="0.25">
      <c r="A25" s="374" t="s">
        <v>195</v>
      </c>
      <c r="B25" s="179"/>
      <c r="C25" s="181">
        <v>1500</v>
      </c>
      <c r="D25" s="183"/>
      <c r="E25" s="181"/>
      <c r="F25" s="181"/>
      <c r="G25" s="181"/>
      <c r="H25" s="181"/>
      <c r="I25" s="181"/>
      <c r="J25" s="181"/>
      <c r="K25" s="181"/>
      <c r="L25" s="181"/>
      <c r="M25" s="181"/>
      <c r="N25" s="145">
        <f t="shared" si="1"/>
        <v>1500</v>
      </c>
    </row>
    <row r="26" spans="1:14" x14ac:dyDescent="0.25">
      <c r="A26" s="150" t="s">
        <v>196</v>
      </c>
      <c r="B26" s="179"/>
      <c r="C26" s="181">
        <f>1400+904+973</f>
        <v>3277</v>
      </c>
      <c r="D26" s="183"/>
      <c r="E26" s="181"/>
      <c r="F26" s="181"/>
      <c r="G26" s="181"/>
      <c r="H26" s="181"/>
      <c r="I26" s="181"/>
      <c r="J26" s="181"/>
      <c r="K26" s="181"/>
      <c r="L26" s="181"/>
      <c r="M26" s="181"/>
      <c r="N26" s="145">
        <f t="shared" si="1"/>
        <v>3277</v>
      </c>
    </row>
    <row r="27" spans="1:14" x14ac:dyDescent="0.25">
      <c r="A27" s="150" t="s">
        <v>197</v>
      </c>
      <c r="B27" s="179"/>
      <c r="C27" s="181">
        <v>1570</v>
      </c>
      <c r="D27" s="183"/>
      <c r="E27" s="181"/>
      <c r="F27" s="181"/>
      <c r="G27" s="181"/>
      <c r="H27" s="181"/>
      <c r="I27" s="181"/>
      <c r="J27" s="181"/>
      <c r="K27" s="181"/>
      <c r="L27" s="181"/>
      <c r="M27" s="181"/>
      <c r="N27" s="145">
        <f t="shared" si="1"/>
        <v>1570</v>
      </c>
    </row>
    <row r="28" spans="1:14" x14ac:dyDescent="0.25">
      <c r="A28" s="150" t="s">
        <v>198</v>
      </c>
      <c r="B28" s="179"/>
      <c r="C28" s="181">
        <v>616</v>
      </c>
      <c r="D28" s="183"/>
      <c r="E28" s="181"/>
      <c r="F28" s="181"/>
      <c r="G28" s="181"/>
      <c r="H28" s="181"/>
      <c r="I28" s="181"/>
      <c r="J28" s="181"/>
      <c r="K28" s="181"/>
      <c r="L28" s="181"/>
      <c r="M28" s="181"/>
      <c r="N28" s="145">
        <f t="shared" si="1"/>
        <v>616</v>
      </c>
    </row>
    <row r="29" spans="1:14" x14ac:dyDescent="0.25">
      <c r="A29" s="150" t="s">
        <v>199</v>
      </c>
      <c r="B29" s="179"/>
      <c r="C29" s="181">
        <v>1980</v>
      </c>
      <c r="D29" s="183"/>
      <c r="E29" s="181"/>
      <c r="F29" s="181"/>
      <c r="G29" s="181"/>
      <c r="H29" s="181"/>
      <c r="I29" s="181"/>
      <c r="J29" s="181"/>
      <c r="K29" s="181"/>
      <c r="L29" s="181"/>
      <c r="M29" s="181"/>
      <c r="N29" s="145">
        <f t="shared" si="1"/>
        <v>1980</v>
      </c>
    </row>
    <row r="30" spans="1:14" x14ac:dyDescent="0.25">
      <c r="A30" s="150" t="s">
        <v>200</v>
      </c>
      <c r="B30" s="179"/>
      <c r="C30" s="181">
        <v>680</v>
      </c>
      <c r="D30" s="183"/>
      <c r="E30" s="181"/>
      <c r="F30" s="181"/>
      <c r="G30" s="181"/>
      <c r="H30" s="181"/>
      <c r="I30" s="181"/>
      <c r="J30" s="181"/>
      <c r="K30" s="181"/>
      <c r="L30" s="181"/>
      <c r="M30" s="181"/>
      <c r="N30" s="145">
        <f t="shared" si="1"/>
        <v>680</v>
      </c>
    </row>
    <row r="31" spans="1:14" x14ac:dyDescent="0.25">
      <c r="A31" s="150" t="s">
        <v>201</v>
      </c>
      <c r="B31" s="179"/>
      <c r="C31" s="181">
        <v>1600</v>
      </c>
      <c r="D31" s="183"/>
      <c r="E31" s="181"/>
      <c r="F31" s="181"/>
      <c r="G31" s="181"/>
      <c r="H31" s="181"/>
      <c r="I31" s="181"/>
      <c r="J31" s="181"/>
      <c r="K31" s="181"/>
      <c r="L31" s="181"/>
      <c r="M31" s="181"/>
      <c r="N31" s="145">
        <f t="shared" si="1"/>
        <v>1600</v>
      </c>
    </row>
    <row r="32" spans="1:14" x14ac:dyDescent="0.25">
      <c r="A32" s="150" t="s">
        <v>206</v>
      </c>
      <c r="B32" s="179"/>
      <c r="C32" s="181">
        <v>120</v>
      </c>
      <c r="D32" s="183"/>
      <c r="E32" s="181"/>
      <c r="F32" s="181"/>
      <c r="G32" s="181"/>
      <c r="H32" s="181"/>
      <c r="I32" s="181"/>
      <c r="J32" s="181"/>
      <c r="K32" s="181"/>
      <c r="L32" s="181"/>
      <c r="M32" s="181"/>
      <c r="N32" s="145">
        <f t="shared" si="1"/>
        <v>120</v>
      </c>
    </row>
    <row r="33" spans="1:14" x14ac:dyDescent="0.25">
      <c r="A33" s="150" t="s">
        <v>210</v>
      </c>
      <c r="B33" s="179"/>
      <c r="C33" s="181">
        <v>1504</v>
      </c>
      <c r="D33" s="183"/>
      <c r="E33" s="181"/>
      <c r="F33" s="181"/>
      <c r="G33" s="181"/>
      <c r="H33" s="181"/>
      <c r="I33" s="181"/>
      <c r="J33" s="181"/>
      <c r="K33" s="181"/>
      <c r="L33" s="181"/>
      <c r="M33" s="181"/>
      <c r="N33" s="145">
        <f t="shared" si="1"/>
        <v>1504</v>
      </c>
    </row>
    <row r="34" spans="1:14" x14ac:dyDescent="0.25">
      <c r="A34" s="150" t="s">
        <v>212</v>
      </c>
      <c r="B34" s="179"/>
      <c r="C34" s="181">
        <v>153</v>
      </c>
      <c r="D34" s="183"/>
      <c r="E34" s="181"/>
      <c r="F34" s="181"/>
      <c r="G34" s="181"/>
      <c r="H34" s="181"/>
      <c r="I34" s="181"/>
      <c r="J34" s="181"/>
      <c r="K34" s="181"/>
      <c r="L34" s="181"/>
      <c r="M34" s="181"/>
      <c r="N34" s="145">
        <f t="shared" si="1"/>
        <v>153</v>
      </c>
    </row>
    <row r="35" spans="1:14" x14ac:dyDescent="0.25">
      <c r="A35" s="150" t="s">
        <v>213</v>
      </c>
      <c r="B35" s="179"/>
      <c r="C35" s="181">
        <v>5750</v>
      </c>
      <c r="D35" s="183"/>
      <c r="E35" s="181"/>
      <c r="F35" s="181"/>
      <c r="G35" s="181"/>
      <c r="H35" s="181"/>
      <c r="I35" s="181"/>
      <c r="J35" s="181"/>
      <c r="K35" s="181"/>
      <c r="L35" s="181"/>
      <c r="M35" s="181"/>
      <c r="N35" s="145">
        <f t="shared" si="1"/>
        <v>5750</v>
      </c>
    </row>
    <row r="36" spans="1:14" x14ac:dyDescent="0.25">
      <c r="A36" s="421" t="s">
        <v>214</v>
      </c>
      <c r="B36" s="182"/>
      <c r="C36" s="182">
        <v>403.5</v>
      </c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45">
        <f t="shared" si="1"/>
        <v>403.5</v>
      </c>
    </row>
    <row r="37" spans="1:14" x14ac:dyDescent="0.25">
      <c r="A37" s="348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45">
        <f t="shared" si="1"/>
        <v>0</v>
      </c>
    </row>
    <row r="38" spans="1:14" x14ac:dyDescent="0.25">
      <c r="A38" s="348"/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45">
        <f t="shared" si="1"/>
        <v>0</v>
      </c>
    </row>
    <row r="39" spans="1:14" x14ac:dyDescent="0.25">
      <c r="A39" s="348"/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45">
        <f t="shared" si="1"/>
        <v>0</v>
      </c>
    </row>
    <row r="40" spans="1:14" x14ac:dyDescent="0.25">
      <c r="A40" s="348"/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45">
        <f t="shared" ref="N40:N56" si="2">SUM(B40:M40)</f>
        <v>0</v>
      </c>
    </row>
    <row r="41" spans="1:14" x14ac:dyDescent="0.25">
      <c r="A41" s="348"/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45">
        <f t="shared" si="2"/>
        <v>0</v>
      </c>
    </row>
    <row r="42" spans="1:14" x14ac:dyDescent="0.25">
      <c r="A42" s="177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45">
        <f t="shared" si="2"/>
        <v>0</v>
      </c>
    </row>
    <row r="43" spans="1:14" x14ac:dyDescent="0.25">
      <c r="A43" s="353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45">
        <f t="shared" si="2"/>
        <v>0</v>
      </c>
    </row>
    <row r="44" spans="1:14" x14ac:dyDescent="0.25">
      <c r="A44" s="353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45">
        <f t="shared" si="2"/>
        <v>0</v>
      </c>
    </row>
    <row r="45" spans="1:14" x14ac:dyDescent="0.25">
      <c r="A45" s="353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45">
        <f t="shared" si="2"/>
        <v>0</v>
      </c>
    </row>
    <row r="46" spans="1:14" x14ac:dyDescent="0.25">
      <c r="A46" s="353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45">
        <f t="shared" si="2"/>
        <v>0</v>
      </c>
    </row>
    <row r="47" spans="1:14" x14ac:dyDescent="0.25">
      <c r="A47" s="353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45">
        <f t="shared" si="2"/>
        <v>0</v>
      </c>
    </row>
    <row r="48" spans="1:14" x14ac:dyDescent="0.25">
      <c r="A48" s="353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45">
        <f t="shared" si="2"/>
        <v>0</v>
      </c>
    </row>
    <row r="49" spans="1:14" x14ac:dyDescent="0.25">
      <c r="A49" s="353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45">
        <f t="shared" si="2"/>
        <v>0</v>
      </c>
    </row>
    <row r="50" spans="1:14" x14ac:dyDescent="0.25">
      <c r="A50" s="353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45">
        <f t="shared" si="2"/>
        <v>0</v>
      </c>
    </row>
    <row r="51" spans="1:14" x14ac:dyDescent="0.25">
      <c r="A51" s="353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45">
        <f t="shared" si="2"/>
        <v>0</v>
      </c>
    </row>
    <row r="52" spans="1:14" x14ac:dyDescent="0.25">
      <c r="A52" s="353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45">
        <f t="shared" si="2"/>
        <v>0</v>
      </c>
    </row>
    <row r="53" spans="1:14" x14ac:dyDescent="0.25">
      <c r="A53" s="356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45">
        <f t="shared" si="2"/>
        <v>0</v>
      </c>
    </row>
    <row r="54" spans="1:14" x14ac:dyDescent="0.25">
      <c r="A54" s="353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45">
        <f t="shared" si="2"/>
        <v>0</v>
      </c>
    </row>
    <row r="55" spans="1:14" x14ac:dyDescent="0.25">
      <c r="A55" s="353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45">
        <f t="shared" si="2"/>
        <v>0</v>
      </c>
    </row>
    <row r="56" spans="1:14" x14ac:dyDescent="0.25">
      <c r="A56" s="353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45">
        <f t="shared" si="2"/>
        <v>0</v>
      </c>
    </row>
    <row r="57" spans="1:14" x14ac:dyDescent="0.25">
      <c r="A57" s="353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81">
        <f t="shared" ref="N57:N100" si="3">SUM(B57:M57)</f>
        <v>0</v>
      </c>
    </row>
    <row r="58" spans="1:14" x14ac:dyDescent="0.25">
      <c r="A58" s="353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81">
        <f t="shared" si="3"/>
        <v>0</v>
      </c>
    </row>
    <row r="59" spans="1:14" x14ac:dyDescent="0.25">
      <c r="A59" s="306"/>
      <c r="B59" s="179"/>
      <c r="C59" s="182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1">
        <f t="shared" si="3"/>
        <v>0</v>
      </c>
    </row>
    <row r="60" spans="1:14" x14ac:dyDescent="0.25">
      <c r="A60" s="353"/>
      <c r="B60" s="179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1">
        <f t="shared" si="3"/>
        <v>0</v>
      </c>
    </row>
    <row r="61" spans="1:14" x14ac:dyDescent="0.25">
      <c r="A61" s="306"/>
      <c r="B61" s="179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>
        <f t="shared" si="3"/>
        <v>0</v>
      </c>
    </row>
    <row r="62" spans="1:14" x14ac:dyDescent="0.25">
      <c r="A62" s="353"/>
      <c r="B62" s="179"/>
      <c r="C62" s="179"/>
      <c r="D62" s="191"/>
      <c r="E62" s="179"/>
      <c r="F62" s="179"/>
      <c r="G62" s="179"/>
      <c r="H62" s="179"/>
      <c r="I62" s="179"/>
      <c r="J62" s="179"/>
      <c r="K62" s="179"/>
      <c r="L62" s="179"/>
      <c r="M62" s="179"/>
      <c r="N62" s="181">
        <f t="shared" si="3"/>
        <v>0</v>
      </c>
    </row>
    <row r="63" spans="1:14" x14ac:dyDescent="0.25">
      <c r="A63" s="306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81">
        <f t="shared" si="3"/>
        <v>0</v>
      </c>
    </row>
    <row r="64" spans="1:14" x14ac:dyDescent="0.25">
      <c r="A64" s="353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81">
        <f t="shared" si="3"/>
        <v>0</v>
      </c>
    </row>
    <row r="65" spans="1:14" x14ac:dyDescent="0.25">
      <c r="A65" s="306"/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81">
        <f t="shared" si="3"/>
        <v>0</v>
      </c>
    </row>
    <row r="66" spans="1:14" x14ac:dyDescent="0.25">
      <c r="A66" s="353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81">
        <f t="shared" si="3"/>
        <v>0</v>
      </c>
    </row>
    <row r="67" spans="1:14" x14ac:dyDescent="0.25">
      <c r="A67" s="306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81">
        <f t="shared" si="3"/>
        <v>0</v>
      </c>
    </row>
    <row r="68" spans="1:14" x14ac:dyDescent="0.25">
      <c r="A68" s="353"/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81">
        <f t="shared" si="3"/>
        <v>0</v>
      </c>
    </row>
    <row r="69" spans="1:14" x14ac:dyDescent="0.25">
      <c r="A69" s="306"/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81">
        <f t="shared" si="3"/>
        <v>0</v>
      </c>
    </row>
    <row r="70" spans="1:14" x14ac:dyDescent="0.25">
      <c r="A70" s="353"/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81">
        <f t="shared" si="3"/>
        <v>0</v>
      </c>
    </row>
    <row r="71" spans="1:14" x14ac:dyDescent="0.25">
      <c r="A71" s="306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81">
        <f t="shared" si="3"/>
        <v>0</v>
      </c>
    </row>
    <row r="72" spans="1:14" x14ac:dyDescent="0.25">
      <c r="A72" s="353"/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81">
        <f t="shared" si="3"/>
        <v>0</v>
      </c>
    </row>
    <row r="73" spans="1:14" x14ac:dyDescent="0.25">
      <c r="A73" s="306"/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81">
        <f t="shared" si="3"/>
        <v>0</v>
      </c>
    </row>
    <row r="74" spans="1:14" x14ac:dyDescent="0.25">
      <c r="A74" s="353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81">
        <f t="shared" si="3"/>
        <v>0</v>
      </c>
    </row>
    <row r="75" spans="1:14" x14ac:dyDescent="0.25">
      <c r="A75" s="361"/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81">
        <f t="shared" si="3"/>
        <v>0</v>
      </c>
    </row>
    <row r="76" spans="1:14" x14ac:dyDescent="0.25">
      <c r="A76" s="353"/>
      <c r="B76" s="179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81">
        <f t="shared" si="3"/>
        <v>0</v>
      </c>
    </row>
    <row r="77" spans="1:14" x14ac:dyDescent="0.25">
      <c r="A77" s="353"/>
      <c r="B77" s="179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81">
        <f t="shared" si="3"/>
        <v>0</v>
      </c>
    </row>
    <row r="78" spans="1:14" x14ac:dyDescent="0.25">
      <c r="A78" s="306"/>
      <c r="B78" s="179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>
        <f t="shared" si="3"/>
        <v>0</v>
      </c>
    </row>
    <row r="79" spans="1:14" x14ac:dyDescent="0.25">
      <c r="A79" s="353"/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>
        <f t="shared" si="3"/>
        <v>0</v>
      </c>
    </row>
    <row r="80" spans="1:14" x14ac:dyDescent="0.25">
      <c r="A80" s="306"/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>
        <f t="shared" si="3"/>
        <v>0</v>
      </c>
    </row>
    <row r="81" spans="1:14" x14ac:dyDescent="0.25">
      <c r="A81" s="353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>
        <f t="shared" si="3"/>
        <v>0</v>
      </c>
    </row>
    <row r="82" spans="1:14" x14ac:dyDescent="0.25">
      <c r="A82" s="306"/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>
        <f t="shared" si="3"/>
        <v>0</v>
      </c>
    </row>
    <row r="83" spans="1:14" x14ac:dyDescent="0.25">
      <c r="A83" s="148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>
        <f t="shared" si="3"/>
        <v>0</v>
      </c>
    </row>
    <row r="84" spans="1:14" x14ac:dyDescent="0.25">
      <c r="A84" s="148"/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>
        <f t="shared" si="3"/>
        <v>0</v>
      </c>
    </row>
    <row r="85" spans="1:14" x14ac:dyDescent="0.25">
      <c r="A85" s="148"/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>
        <f t="shared" si="3"/>
        <v>0</v>
      </c>
    </row>
    <row r="86" spans="1:14" x14ac:dyDescent="0.25">
      <c r="A86" s="148"/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>
        <f t="shared" si="3"/>
        <v>0</v>
      </c>
    </row>
    <row r="87" spans="1:14" x14ac:dyDescent="0.25">
      <c r="A87" s="148"/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>
        <f t="shared" si="3"/>
        <v>0</v>
      </c>
    </row>
    <row r="88" spans="1:14" x14ac:dyDescent="0.25">
      <c r="A88" s="148"/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>
        <f t="shared" si="3"/>
        <v>0</v>
      </c>
    </row>
    <row r="89" spans="1:14" x14ac:dyDescent="0.25">
      <c r="A89" s="148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>
        <f t="shared" si="3"/>
        <v>0</v>
      </c>
    </row>
    <row r="90" spans="1:14" x14ac:dyDescent="0.25">
      <c r="A90" s="148"/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>
        <f t="shared" si="3"/>
        <v>0</v>
      </c>
    </row>
    <row r="91" spans="1:14" x14ac:dyDescent="0.25">
      <c r="A91" s="148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>
        <f t="shared" si="3"/>
        <v>0</v>
      </c>
    </row>
    <row r="92" spans="1:14" x14ac:dyDescent="0.25">
      <c r="A92" s="148"/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>
        <f t="shared" si="3"/>
        <v>0</v>
      </c>
    </row>
    <row r="93" spans="1:14" x14ac:dyDescent="0.25">
      <c r="A93" s="148"/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>
        <f t="shared" si="3"/>
        <v>0</v>
      </c>
    </row>
    <row r="94" spans="1:14" x14ac:dyDescent="0.25">
      <c r="A94" s="148"/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>
        <f t="shared" si="3"/>
        <v>0</v>
      </c>
    </row>
    <row r="95" spans="1:14" x14ac:dyDescent="0.25">
      <c r="A95" s="148"/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>
        <f t="shared" si="3"/>
        <v>0</v>
      </c>
    </row>
    <row r="96" spans="1:14" x14ac:dyDescent="0.25">
      <c r="A96" s="148"/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>
        <f t="shared" si="3"/>
        <v>0</v>
      </c>
    </row>
    <row r="97" spans="1:14" x14ac:dyDescent="0.25">
      <c r="A97" s="148"/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>
        <f t="shared" si="3"/>
        <v>0</v>
      </c>
    </row>
    <row r="98" spans="1:14" x14ac:dyDescent="0.25">
      <c r="A98" s="148"/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>
        <f t="shared" si="3"/>
        <v>0</v>
      </c>
    </row>
    <row r="99" spans="1:14" x14ac:dyDescent="0.25">
      <c r="A99" s="148"/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>
        <f t="shared" si="3"/>
        <v>0</v>
      </c>
    </row>
    <row r="100" spans="1:14" x14ac:dyDescent="0.25">
      <c r="A100" s="151"/>
      <c r="B100" s="182"/>
      <c r="C100" s="182"/>
      <c r="D100" s="182"/>
      <c r="E100" s="182"/>
      <c r="F100" s="182"/>
      <c r="G100" s="182"/>
      <c r="H100" s="182"/>
      <c r="I100" s="182"/>
      <c r="J100" s="182"/>
      <c r="K100" s="182"/>
      <c r="L100" s="182"/>
      <c r="M100" s="182"/>
      <c r="N100" s="181">
        <f t="shared" si="3"/>
        <v>0</v>
      </c>
    </row>
    <row r="101" spans="1:14" x14ac:dyDescent="0.25">
      <c r="A101" s="133" t="s">
        <v>90</v>
      </c>
      <c r="B101" s="186">
        <f t="shared" ref="B101:M101" si="4">SUM(B1:B100)</f>
        <v>86243.06</v>
      </c>
      <c r="C101" s="186">
        <f t="shared" si="4"/>
        <v>50813.47</v>
      </c>
      <c r="D101" s="186">
        <f t="shared" si="4"/>
        <v>0</v>
      </c>
      <c r="E101" s="186">
        <f t="shared" si="4"/>
        <v>0</v>
      </c>
      <c r="F101" s="186">
        <f t="shared" si="4"/>
        <v>0</v>
      </c>
      <c r="G101" s="186">
        <f t="shared" si="4"/>
        <v>0</v>
      </c>
      <c r="H101" s="186">
        <f t="shared" si="4"/>
        <v>0</v>
      </c>
      <c r="I101" s="186">
        <f t="shared" si="4"/>
        <v>0</v>
      </c>
      <c r="J101" s="186">
        <f t="shared" si="4"/>
        <v>0</v>
      </c>
      <c r="K101" s="186">
        <f t="shared" si="4"/>
        <v>0</v>
      </c>
      <c r="L101" s="186">
        <f>SUM(L1:L100)</f>
        <v>0</v>
      </c>
      <c r="M101" s="186">
        <f t="shared" si="4"/>
        <v>0</v>
      </c>
      <c r="N101" s="154">
        <f>SUM(N1:N100)</f>
        <v>137056.53</v>
      </c>
    </row>
    <row r="102" spans="1:14" x14ac:dyDescent="0.25">
      <c r="N102" s="95">
        <f>SUM(B101:M101)-N101</f>
        <v>0</v>
      </c>
    </row>
  </sheetData>
  <autoFilter ref="A1:A102"/>
  <phoneticPr fontId="23" type="noConversion"/>
  <pageMargins left="0.7" right="0.7" top="0.75" bottom="0.75" header="0.3" footer="0.3"/>
  <pageSetup paperSize="9" scale="54" firstPageNumber="42949672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N12"/>
  <sheetViews>
    <sheetView workbookViewId="0">
      <selection activeCell="C5" sqref="C5"/>
    </sheetView>
  </sheetViews>
  <sheetFormatPr defaultRowHeight="15" x14ac:dyDescent="0.25"/>
  <cols>
    <col min="1" max="1" width="29.85546875" bestFit="1" customWidth="1"/>
    <col min="2" max="2" width="11.5703125" style="1" customWidth="1"/>
    <col min="3" max="3" width="10.140625" style="1" customWidth="1"/>
    <col min="4" max="4" width="8.140625" style="1" customWidth="1"/>
    <col min="5" max="5" width="8.28515625" style="1" customWidth="1"/>
    <col min="6" max="6" width="8.42578125" style="1" customWidth="1"/>
    <col min="7" max="8" width="9.140625" style="1"/>
    <col min="9" max="9" width="8.140625" style="1" customWidth="1"/>
    <col min="10" max="10" width="8.28515625" style="1" customWidth="1"/>
    <col min="11" max="11" width="9.28515625" style="1" bestFit="1" customWidth="1"/>
    <col min="12" max="13" width="9.140625" style="1"/>
    <col min="14" max="14" width="11.85546875" style="1" bestFit="1" customWidth="1"/>
  </cols>
  <sheetData>
    <row r="1" spans="1:14" x14ac:dyDescent="0.25">
      <c r="A1" s="155" t="s">
        <v>29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47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52" t="s">
        <v>154</v>
      </c>
      <c r="B3" s="179">
        <v>17000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1">
        <f>SUM(B3:M3)</f>
        <v>17000</v>
      </c>
    </row>
    <row r="4" spans="1:14" x14ac:dyDescent="0.25">
      <c r="A4" s="152" t="s">
        <v>94</v>
      </c>
      <c r="B4" s="179"/>
      <c r="C4" s="179">
        <f>10000+2399</f>
        <v>12399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1">
        <f t="shared" ref="N4:N6" si="0">SUM(B4:M4)</f>
        <v>12399</v>
      </c>
    </row>
    <row r="5" spans="1:14" x14ac:dyDescent="0.25">
      <c r="A5" s="157" t="s">
        <v>95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81">
        <f t="shared" si="0"/>
        <v>0</v>
      </c>
    </row>
    <row r="6" spans="1:14" x14ac:dyDescent="0.25">
      <c r="A6" s="152" t="s">
        <v>111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81">
        <f t="shared" si="0"/>
        <v>0</v>
      </c>
    </row>
    <row r="7" spans="1:14" x14ac:dyDescent="0.25">
      <c r="A7" s="152" t="s">
        <v>129</v>
      </c>
      <c r="B7" s="179"/>
      <c r="C7" s="179"/>
      <c r="D7" s="179"/>
      <c r="E7" s="179"/>
      <c r="F7" s="179"/>
      <c r="G7" s="179"/>
      <c r="H7" s="179"/>
      <c r="I7" s="179"/>
      <c r="J7" s="179"/>
      <c r="K7" s="198"/>
      <c r="L7" s="179"/>
      <c r="M7" s="179"/>
      <c r="N7" s="181">
        <f>SUM(B7:M7)</f>
        <v>0</v>
      </c>
    </row>
    <row r="8" spans="1:14" x14ac:dyDescent="0.25">
      <c r="A8" s="203"/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1"/>
    </row>
    <row r="10" spans="1:14" x14ac:dyDescent="0.25">
      <c r="A10" s="158" t="s">
        <v>90</v>
      </c>
      <c r="B10" s="159">
        <f t="shared" ref="B10:H10" si="1">SUM(B3:B8)</f>
        <v>17000</v>
      </c>
      <c r="C10" s="159">
        <f t="shared" si="1"/>
        <v>12399</v>
      </c>
      <c r="D10" s="159">
        <f t="shared" si="1"/>
        <v>0</v>
      </c>
      <c r="E10" s="159">
        <f t="shared" si="1"/>
        <v>0</v>
      </c>
      <c r="F10" s="159">
        <f t="shared" si="1"/>
        <v>0</v>
      </c>
      <c r="G10" s="159">
        <f t="shared" si="1"/>
        <v>0</v>
      </c>
      <c r="H10" s="159">
        <f t="shared" si="1"/>
        <v>0</v>
      </c>
      <c r="I10" s="159">
        <f t="shared" ref="I10:M10" si="2">SUM(I3:I8)</f>
        <v>0</v>
      </c>
      <c r="J10" s="159">
        <f t="shared" si="2"/>
        <v>0</v>
      </c>
      <c r="K10" s="159">
        <f t="shared" si="2"/>
        <v>0</v>
      </c>
      <c r="L10" s="159">
        <f>SUM(L3:L8)</f>
        <v>0</v>
      </c>
      <c r="M10" s="159">
        <f t="shared" si="2"/>
        <v>0</v>
      </c>
      <c r="N10" s="159">
        <f>SUM(N3:N8)</f>
        <v>29399</v>
      </c>
    </row>
    <row r="12" spans="1:14" x14ac:dyDescent="0.25">
      <c r="N12" s="160">
        <f>SUM(B10:M10)-N10</f>
        <v>0</v>
      </c>
    </row>
  </sheetData>
  <phoneticPr fontId="23" type="noConversion"/>
  <pageMargins left="0.25" right="0.25" top="0.75" bottom="0.75" header="0.3" footer="0.3"/>
  <pageSetup paperSize="9" scale="97" firstPageNumber="42949672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11"/>
  <sheetViews>
    <sheetView workbookViewId="0">
      <selection activeCell="C7" sqref="C7"/>
    </sheetView>
  </sheetViews>
  <sheetFormatPr defaultRowHeight="15" x14ac:dyDescent="0.25"/>
  <cols>
    <col min="1" max="1" width="19.5703125" bestFit="1" customWidth="1"/>
    <col min="2" max="2" width="11.5703125" style="1" bestFit="1" customWidth="1"/>
    <col min="3" max="3" width="9.28515625" style="1" bestFit="1" customWidth="1"/>
    <col min="4" max="5" width="8.28515625" style="1" bestFit="1" customWidth="1"/>
    <col min="6" max="6" width="9.28515625" style="1" customWidth="1"/>
    <col min="7" max="7" width="9.28515625" style="1" bestFit="1" customWidth="1"/>
    <col min="8" max="13" width="8.28515625" style="1" bestFit="1" customWidth="1"/>
    <col min="14" max="14" width="12.85546875" style="1" bestFit="1" customWidth="1"/>
  </cols>
  <sheetData>
    <row r="1" spans="1:14" x14ac:dyDescent="0.25">
      <c r="A1" s="155" t="s">
        <v>30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38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61"/>
      <c r="B3" s="143"/>
      <c r="C3" s="143"/>
      <c r="D3" s="144"/>
      <c r="E3" s="143"/>
      <c r="F3" s="143"/>
      <c r="G3" s="143"/>
      <c r="H3" s="143"/>
      <c r="I3" s="143"/>
      <c r="J3" s="143"/>
      <c r="K3" s="143"/>
      <c r="L3" s="143"/>
      <c r="M3" s="143"/>
      <c r="N3" s="147">
        <f t="shared" ref="N3:N7" si="0">SUM(B3:M3)</f>
        <v>0</v>
      </c>
    </row>
    <row r="4" spans="1:14" x14ac:dyDescent="0.25">
      <c r="A4" s="152" t="s">
        <v>96</v>
      </c>
      <c r="B4" s="179">
        <v>1200</v>
      </c>
      <c r="C4" s="179">
        <v>1200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>
        <f t="shared" si="0"/>
        <v>2400</v>
      </c>
    </row>
    <row r="5" spans="1:14" x14ac:dyDescent="0.25">
      <c r="A5" s="152" t="s">
        <v>97</v>
      </c>
      <c r="B5" s="179">
        <v>4000</v>
      </c>
      <c r="C5" s="179">
        <v>4000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>
        <f t="shared" si="0"/>
        <v>8000</v>
      </c>
    </row>
    <row r="6" spans="1:14" x14ac:dyDescent="0.25">
      <c r="A6" s="152" t="s">
        <v>98</v>
      </c>
      <c r="B6" s="179">
        <v>1000</v>
      </c>
      <c r="C6" s="179">
        <v>1000</v>
      </c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>
        <f t="shared" si="0"/>
        <v>2000</v>
      </c>
    </row>
    <row r="7" spans="1:14" x14ac:dyDescent="0.25">
      <c r="A7" s="152" t="s">
        <v>128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>
        <f t="shared" si="0"/>
        <v>0</v>
      </c>
    </row>
    <row r="8" spans="1:14" x14ac:dyDescent="0.25">
      <c r="A8" s="152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</row>
    <row r="9" spans="1:14" x14ac:dyDescent="0.25">
      <c r="A9" s="162" t="s">
        <v>90</v>
      </c>
      <c r="B9" s="159">
        <f t="shared" ref="B9:M9" si="1">SUM(B3:B8)</f>
        <v>6200</v>
      </c>
      <c r="C9" s="159">
        <f t="shared" si="1"/>
        <v>6200</v>
      </c>
      <c r="D9" s="159">
        <f t="shared" si="1"/>
        <v>0</v>
      </c>
      <c r="E9" s="159">
        <f t="shared" si="1"/>
        <v>0</v>
      </c>
      <c r="F9" s="159">
        <f t="shared" si="1"/>
        <v>0</v>
      </c>
      <c r="G9" s="159">
        <f t="shared" si="1"/>
        <v>0</v>
      </c>
      <c r="H9" s="159">
        <f t="shared" si="1"/>
        <v>0</v>
      </c>
      <c r="I9" s="159">
        <f t="shared" si="1"/>
        <v>0</v>
      </c>
      <c r="J9" s="159">
        <f t="shared" si="1"/>
        <v>0</v>
      </c>
      <c r="K9" s="159">
        <f t="shared" si="1"/>
        <v>0</v>
      </c>
      <c r="L9" s="159">
        <f t="shared" si="1"/>
        <v>0</v>
      </c>
      <c r="M9" s="159">
        <f t="shared" si="1"/>
        <v>0</v>
      </c>
      <c r="N9" s="302">
        <f>SUM(N3:N8)</f>
        <v>12400</v>
      </c>
    </row>
    <row r="11" spans="1:14" x14ac:dyDescent="0.25">
      <c r="N11" s="160">
        <f>SUM(B9:M9)-N9</f>
        <v>0</v>
      </c>
    </row>
  </sheetData>
  <phoneticPr fontId="23" type="noConversion"/>
  <pageMargins left="0.7" right="0.7" top="0.75" bottom="0.75" header="0.3" footer="0.3"/>
  <pageSetup paperSize="9" firstPageNumber="42949672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"/>
    <pageSetUpPr fitToPage="1"/>
  </sheetPr>
  <dimension ref="A1:N11"/>
  <sheetViews>
    <sheetView workbookViewId="0">
      <selection activeCell="C4" sqref="C4"/>
    </sheetView>
  </sheetViews>
  <sheetFormatPr defaultRowHeight="15" x14ac:dyDescent="0.25"/>
  <cols>
    <col min="1" max="1" width="26.7109375" bestFit="1" customWidth="1"/>
    <col min="2" max="2" width="12.85546875" bestFit="1" customWidth="1"/>
    <col min="3" max="3" width="14.5703125" bestFit="1" customWidth="1"/>
    <col min="4" max="5" width="12.85546875" bestFit="1" customWidth="1"/>
    <col min="6" max="7" width="14.28515625" customWidth="1"/>
    <col min="8" max="8" width="12.85546875" bestFit="1" customWidth="1"/>
    <col min="9" max="9" width="14.5703125" bestFit="1" customWidth="1"/>
    <col min="10" max="13" width="12.85546875" bestFit="1" customWidth="1"/>
    <col min="14" max="14" width="15.5703125" bestFit="1" customWidth="1"/>
  </cols>
  <sheetData>
    <row r="1" spans="1:14" x14ac:dyDescent="0.25">
      <c r="A1" s="155" t="s">
        <v>99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7" t="s">
        <v>9</v>
      </c>
      <c r="C2" s="147" t="s">
        <v>14</v>
      </c>
      <c r="D2" s="147" t="s">
        <v>15</v>
      </c>
      <c r="E2" s="147" t="s">
        <v>16</v>
      </c>
      <c r="F2" s="147" t="s">
        <v>17</v>
      </c>
      <c r="G2" s="147" t="s">
        <v>18</v>
      </c>
      <c r="H2" s="147" t="s">
        <v>19</v>
      </c>
      <c r="I2" s="147" t="s">
        <v>4</v>
      </c>
      <c r="J2" s="147" t="s">
        <v>5</v>
      </c>
      <c r="K2" s="147" t="s">
        <v>6</v>
      </c>
      <c r="L2" s="147" t="s">
        <v>7</v>
      </c>
      <c r="M2" s="147" t="s">
        <v>8</v>
      </c>
      <c r="N2" s="163" t="s">
        <v>90</v>
      </c>
    </row>
    <row r="3" spans="1:14" ht="25.5" customHeight="1" x14ac:dyDescent="0.25">
      <c r="A3" s="164" t="s">
        <v>100</v>
      </c>
      <c r="B3" s="193">
        <f>44403+135884.95+130362.91+76257+20815.15+95602+66244+111696+10005-40000</f>
        <v>651270.01</v>
      </c>
      <c r="C3" s="193">
        <f>32471+58558+185686-104000-13000+43671.56+147264.92+138896.59+162046+50000+10005+110649.93+87863+37377+128304+16350-14300+103617</f>
        <v>1181460</v>
      </c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7">
        <f>SUM(B3:M3)</f>
        <v>1832730.01</v>
      </c>
    </row>
    <row r="4" spans="1:14" x14ac:dyDescent="0.25">
      <c r="A4" s="164" t="s">
        <v>112</v>
      </c>
      <c r="B4" s="194">
        <v>80000</v>
      </c>
      <c r="C4" s="193">
        <f>5000+85000</f>
        <v>90000</v>
      </c>
      <c r="D4" s="194"/>
      <c r="E4" s="194"/>
      <c r="F4" s="194"/>
      <c r="G4" s="194"/>
      <c r="H4" s="194"/>
      <c r="I4" s="194"/>
      <c r="J4" s="193"/>
      <c r="K4" s="193"/>
      <c r="L4" s="193"/>
      <c r="M4" s="193"/>
      <c r="N4" s="197">
        <f>SUM(B4:M4)</f>
        <v>170000</v>
      </c>
    </row>
    <row r="5" spans="1:14" x14ac:dyDescent="0.25">
      <c r="A5" s="165"/>
      <c r="B5" s="195"/>
      <c r="C5" s="187"/>
      <c r="D5" s="195"/>
      <c r="E5" s="195"/>
      <c r="F5" s="195"/>
      <c r="G5" s="195"/>
      <c r="H5" s="195"/>
      <c r="I5" s="195"/>
      <c r="J5" s="187"/>
      <c r="K5" s="187"/>
      <c r="L5" s="187"/>
      <c r="M5" s="187"/>
      <c r="N5" s="197"/>
    </row>
    <row r="6" spans="1:14" x14ac:dyDescent="0.25">
      <c r="A6" s="155" t="s">
        <v>90</v>
      </c>
      <c r="B6" s="196">
        <f t="shared" ref="B6:N6" si="0">SUM(B3:B5)</f>
        <v>731270.01</v>
      </c>
      <c r="C6" s="196">
        <f t="shared" si="0"/>
        <v>1271460</v>
      </c>
      <c r="D6" s="196">
        <f t="shared" si="0"/>
        <v>0</v>
      </c>
      <c r="E6" s="196">
        <f t="shared" si="0"/>
        <v>0</v>
      </c>
      <c r="F6" s="196">
        <f t="shared" si="0"/>
        <v>0</v>
      </c>
      <c r="G6" s="196">
        <f t="shared" si="0"/>
        <v>0</v>
      </c>
      <c r="H6" s="196">
        <f t="shared" si="0"/>
        <v>0</v>
      </c>
      <c r="I6" s="196">
        <f t="shared" si="0"/>
        <v>0</v>
      </c>
      <c r="J6" s="196">
        <f t="shared" si="0"/>
        <v>0</v>
      </c>
      <c r="K6" s="196">
        <f t="shared" si="0"/>
        <v>0</v>
      </c>
      <c r="L6" s="196">
        <f t="shared" si="0"/>
        <v>0</v>
      </c>
      <c r="M6" s="196">
        <f t="shared" si="0"/>
        <v>0</v>
      </c>
      <c r="N6" s="196">
        <f t="shared" si="0"/>
        <v>2002730.01</v>
      </c>
    </row>
    <row r="8" spans="1:14" x14ac:dyDescent="0.25">
      <c r="N8" s="160">
        <f>SUM(B6:M6)-N6</f>
        <v>0</v>
      </c>
    </row>
    <row r="10" spans="1:14" s="167" customFormat="1" ht="15.75" x14ac:dyDescent="0.25">
      <c r="M10" s="147"/>
    </row>
    <row r="11" spans="1:14" ht="18.75" x14ac:dyDescent="0.3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94"/>
    </row>
  </sheetData>
  <phoneticPr fontId="23" type="noConversion"/>
  <pageMargins left="0.7" right="0.7" top="0.75" bottom="0.75" header="0.3" footer="0.3"/>
  <pageSetup paperSize="9" scale="82" firstPageNumber="42949672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8"/>
  <sheetViews>
    <sheetView workbookViewId="0">
      <selection activeCell="C3" sqref="C3"/>
    </sheetView>
  </sheetViews>
  <sheetFormatPr defaultRowHeight="15" x14ac:dyDescent="0.25"/>
  <cols>
    <col min="1" max="1" width="20.28515625" style="1" bestFit="1" customWidth="1"/>
    <col min="2" max="2" width="9.140625" style="1"/>
    <col min="3" max="3" width="10.28515625" style="1" bestFit="1" customWidth="1"/>
    <col min="4" max="12" width="9.140625" style="1"/>
    <col min="13" max="14" width="15.5703125" style="1" bestFit="1" customWidth="1"/>
  </cols>
  <sheetData>
    <row r="1" spans="1:14" x14ac:dyDescent="0.25">
      <c r="A1" s="135" t="s">
        <v>33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39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138"/>
    </row>
    <row r="3" spans="1:14" ht="29.25" customHeight="1" x14ac:dyDescent="0.25">
      <c r="A3" s="169" t="s">
        <v>101</v>
      </c>
      <c r="B3" s="179">
        <v>40000</v>
      </c>
      <c r="C3" s="179">
        <f>7000+41000+69000</f>
        <v>117000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>
        <f>SUM(B3:M3)</f>
        <v>157000</v>
      </c>
    </row>
    <row r="4" spans="1:14" x14ac:dyDescent="0.25">
      <c r="A4" s="16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>
        <f>SUM(B4:M4)</f>
        <v>0</v>
      </c>
    </row>
    <row r="5" spans="1:14" x14ac:dyDescent="0.25">
      <c r="A5" s="135" t="s">
        <v>90</v>
      </c>
      <c r="B5" s="186">
        <f t="shared" ref="B5:M5" si="0">SUM(B3:B4)</f>
        <v>40000</v>
      </c>
      <c r="C5" s="186">
        <f t="shared" si="0"/>
        <v>117000</v>
      </c>
      <c r="D5" s="186">
        <f t="shared" si="0"/>
        <v>0</v>
      </c>
      <c r="E5" s="186">
        <f t="shared" si="0"/>
        <v>0</v>
      </c>
      <c r="F5" s="186">
        <f t="shared" si="0"/>
        <v>0</v>
      </c>
      <c r="G5" s="186">
        <f t="shared" si="0"/>
        <v>0</v>
      </c>
      <c r="H5" s="186">
        <f t="shared" si="0"/>
        <v>0</v>
      </c>
      <c r="I5" s="186">
        <f t="shared" si="0"/>
        <v>0</v>
      </c>
      <c r="J5" s="186">
        <f t="shared" si="0"/>
        <v>0</v>
      </c>
      <c r="K5" s="186">
        <f t="shared" si="0"/>
        <v>0</v>
      </c>
      <c r="L5" s="186">
        <f t="shared" si="0"/>
        <v>0</v>
      </c>
      <c r="M5" s="186">
        <f t="shared" si="0"/>
        <v>0</v>
      </c>
      <c r="N5" s="186">
        <f>SUM(N3:N4)</f>
        <v>157000</v>
      </c>
    </row>
    <row r="6" spans="1:14" x14ac:dyDescent="0.25">
      <c r="C6" s="170"/>
      <c r="D6" s="170"/>
      <c r="E6" s="170"/>
      <c r="F6" s="170"/>
      <c r="G6" s="170"/>
      <c r="H6" s="170"/>
    </row>
    <row r="7" spans="1:14" x14ac:dyDescent="0.25">
      <c r="N7" s="160">
        <f>SUM(B5:M5)-N5</f>
        <v>0</v>
      </c>
    </row>
    <row r="8" spans="1:14" x14ac:dyDescent="0.25">
      <c r="A8" s="171"/>
    </row>
  </sheetData>
  <phoneticPr fontId="23" type="noConversion"/>
  <pageMargins left="0.7" right="0.7" top="0.75" bottom="0.75" header="0.3" footer="0.3"/>
  <pageSetup paperSize="9" scale="90" firstPageNumber="42949672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14"/>
  <sheetViews>
    <sheetView workbookViewId="0">
      <selection activeCell="C3" sqref="C3"/>
    </sheetView>
  </sheetViews>
  <sheetFormatPr defaultRowHeight="15" x14ac:dyDescent="0.25"/>
  <cols>
    <col min="1" max="1" width="28.28515625" bestFit="1" customWidth="1"/>
    <col min="2" max="2" width="11.5703125" bestFit="1" customWidth="1"/>
    <col min="3" max="3" width="10.28515625" bestFit="1" customWidth="1"/>
    <col min="4" max="4" width="8" customWidth="1"/>
    <col min="5" max="5" width="10.28515625" bestFit="1" customWidth="1"/>
    <col min="6" max="6" width="10.140625" customWidth="1"/>
    <col min="7" max="7" width="10.7109375" customWidth="1"/>
    <col min="8" max="10" width="10.28515625" bestFit="1" customWidth="1"/>
    <col min="11" max="11" width="10.85546875" customWidth="1"/>
    <col min="12" max="13" width="10.28515625" bestFit="1" customWidth="1"/>
    <col min="14" max="14" width="11.85546875" bestFit="1" customWidth="1"/>
  </cols>
  <sheetData>
    <row r="1" spans="1:14" x14ac:dyDescent="0.25">
      <c r="A1" s="155" t="s">
        <v>34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/>
    </row>
    <row r="3" spans="1:14" x14ac:dyDescent="0.25">
      <c r="A3" s="152" t="s">
        <v>102</v>
      </c>
      <c r="B3" s="179">
        <f>1937.92+290687.11</f>
        <v>292625.02999999997</v>
      </c>
      <c r="C3" s="179">
        <f>1779.43+266910.97</f>
        <v>268690.39999999997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81">
        <f>SUM(B3:M3)</f>
        <v>561315.42999999993</v>
      </c>
    </row>
    <row r="4" spans="1:14" x14ac:dyDescent="0.25">
      <c r="A4" s="152"/>
      <c r="B4" s="179"/>
      <c r="C4" s="179" t="s">
        <v>191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81">
        <f>SUM(B4:M4)</f>
        <v>0</v>
      </c>
    </row>
    <row r="5" spans="1:14" x14ac:dyDescent="0.25">
      <c r="A5" s="152" t="s">
        <v>103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81">
        <f>SUM(B5:M5)</f>
        <v>0</v>
      </c>
    </row>
    <row r="6" spans="1:14" x14ac:dyDescent="0.25">
      <c r="A6" s="155" t="s">
        <v>90</v>
      </c>
      <c r="B6" s="186">
        <f t="shared" ref="B6:N6" si="0">SUM(B3:B5)</f>
        <v>292625.02999999997</v>
      </c>
      <c r="C6" s="186">
        <f t="shared" si="0"/>
        <v>268690.39999999997</v>
      </c>
      <c r="D6" s="186">
        <f t="shared" si="0"/>
        <v>0</v>
      </c>
      <c r="E6" s="186">
        <f t="shared" si="0"/>
        <v>0</v>
      </c>
      <c r="F6" s="186">
        <f t="shared" si="0"/>
        <v>0</v>
      </c>
      <c r="G6" s="186">
        <f t="shared" si="0"/>
        <v>0</v>
      </c>
      <c r="H6" s="186">
        <f t="shared" si="0"/>
        <v>0</v>
      </c>
      <c r="I6" s="186">
        <f t="shared" si="0"/>
        <v>0</v>
      </c>
      <c r="J6" s="186">
        <f t="shared" si="0"/>
        <v>0</v>
      </c>
      <c r="K6" s="186">
        <f t="shared" si="0"/>
        <v>0</v>
      </c>
      <c r="L6" s="186">
        <f t="shared" si="0"/>
        <v>0</v>
      </c>
      <c r="M6" s="186">
        <f t="shared" si="0"/>
        <v>0</v>
      </c>
      <c r="N6" s="186">
        <f t="shared" si="0"/>
        <v>561315.42999999993</v>
      </c>
    </row>
    <row r="8" spans="1:14" x14ac:dyDescent="0.25">
      <c r="N8" s="160">
        <f>SUM(B6:M6)-N6</f>
        <v>0</v>
      </c>
    </row>
    <row r="9" spans="1:14" ht="15.75" hidden="1" x14ac:dyDescent="0.25">
      <c r="A9" s="414"/>
      <c r="B9" s="414"/>
      <c r="C9" s="414"/>
      <c r="D9" s="414"/>
      <c r="E9" s="414"/>
      <c r="F9" s="414"/>
      <c r="G9" s="414"/>
      <c r="H9" s="414"/>
      <c r="I9" s="414"/>
      <c r="J9" s="414"/>
      <c r="K9" s="414"/>
      <c r="L9" s="414"/>
    </row>
    <row r="10" spans="1:14" ht="15.75" hidden="1" x14ac:dyDescent="0.25">
      <c r="A10" s="414"/>
      <c r="B10" s="414"/>
      <c r="C10" s="414"/>
      <c r="D10" s="414"/>
      <c r="E10" s="414"/>
      <c r="F10" s="414"/>
      <c r="G10" s="414"/>
      <c r="H10" s="414"/>
      <c r="I10" s="414"/>
      <c r="J10" s="414"/>
      <c r="K10" s="414"/>
      <c r="L10" s="414"/>
    </row>
    <row r="11" spans="1:14" hidden="1" x14ac:dyDescent="0.25"/>
    <row r="12" spans="1:14" ht="15.75" hidden="1" x14ac:dyDescent="0.25">
      <c r="A12" s="115"/>
      <c r="B12" s="167"/>
      <c r="C12" s="167"/>
      <c r="D12" s="167"/>
      <c r="E12" s="167"/>
      <c r="F12" s="167"/>
      <c r="G12" s="167"/>
      <c r="H12" s="167"/>
      <c r="I12" s="167"/>
      <c r="J12" s="167"/>
      <c r="K12" s="167"/>
    </row>
    <row r="13" spans="1:14" ht="15.75" hidden="1" x14ac:dyDescent="0.25">
      <c r="A13" s="412"/>
      <c r="B13" s="412"/>
      <c r="C13" s="412"/>
      <c r="D13" s="412"/>
      <c r="E13" s="412"/>
      <c r="F13" s="412"/>
      <c r="G13" s="412"/>
      <c r="H13" s="412"/>
      <c r="I13" s="412"/>
      <c r="J13" s="412"/>
      <c r="K13" s="412"/>
      <c r="L13" s="413"/>
    </row>
    <row r="14" spans="1:14" hidden="1" x14ac:dyDescent="0.25"/>
  </sheetData>
  <mergeCells count="3">
    <mergeCell ref="A13:L13"/>
    <mergeCell ref="A9:L9"/>
    <mergeCell ref="A10:L10"/>
  </mergeCells>
  <phoneticPr fontId="23" type="noConversion"/>
  <pageMargins left="0.25" right="0.25" top="0.75" bottom="0.75" header="0.3" footer="0.3"/>
  <pageSetup paperSize="9" scale="97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ВСЕ затраты за 6 мес.</vt:lpstr>
      <vt:lpstr>ВСЕ затраты</vt:lpstr>
      <vt:lpstr>ВСЕ затраты в 2016-2017 гг (2)</vt:lpstr>
      <vt:lpstr>общехоз расходы</vt:lpstr>
      <vt:lpstr>прогр обесп</vt:lpstr>
      <vt:lpstr>связь</vt:lpstr>
      <vt:lpstr>з пл</vt:lpstr>
      <vt:lpstr>премии</vt:lpstr>
      <vt:lpstr>налог с ФОТ</vt:lpstr>
      <vt:lpstr>мусор</vt:lpstr>
      <vt:lpstr>вода</vt:lpstr>
      <vt:lpstr>канализация</vt:lpstr>
      <vt:lpstr>эл.снабж</vt:lpstr>
      <vt:lpstr>спец авто транспорт</vt:lpstr>
      <vt:lpstr>благ-во</vt:lpstr>
      <vt:lpstr>рез фонд</vt:lpstr>
      <vt:lpstr>'ВСЕ затраты'!Область_печати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soglasie1@outlook.com</cp:lastModifiedBy>
  <cp:revision>1</cp:revision>
  <cp:lastPrinted>2023-12-07T14:03:55Z</cp:lastPrinted>
  <dcterms:created xsi:type="dcterms:W3CDTF">2015-11-16T11:04:42Z</dcterms:created>
  <dcterms:modified xsi:type="dcterms:W3CDTF">2025-01-15T14:09:06Z</dcterms:modified>
</cp:coreProperties>
</file>