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796D5917-336A-4D32-99D5-4F959FBC24C9}" xr6:coauthVersionLast="47" xr6:coauthVersionMax="47" xr10:uidLastSave="{00000000-0000-0000-0000-000000000000}"/>
  <bookViews>
    <workbookView xWindow="-108" yWindow="-108" windowWidth="23256" windowHeight="13896" tabRatio="788" firstSheet="1" activeTab="1" xr2:uid="{00000000-000D-0000-FFFF-FFFF00000000}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расходы'!$A$1:$A$104</definedName>
    <definedName name="_xlnm.Print_Area" localSheetId="1">'ВСЕ затраты'!$A$1:$R$60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" l="1"/>
  <c r="I14" i="2"/>
  <c r="F14" i="2"/>
  <c r="G15" i="2"/>
  <c r="N50" i="4" l="1"/>
  <c r="N49" i="4"/>
  <c r="N48" i="4"/>
  <c r="N47" i="4"/>
  <c r="N46" i="4"/>
  <c r="E14" i="2"/>
  <c r="D5" i="17" l="1"/>
  <c r="D8" i="16"/>
  <c r="D15" i="4"/>
  <c r="F39" i="2"/>
  <c r="D3" i="7"/>
  <c r="C3" i="7"/>
  <c r="C64" i="15"/>
  <c r="D64" i="15"/>
  <c r="E64" i="15"/>
  <c r="F64" i="15"/>
  <c r="G64" i="15"/>
  <c r="H64" i="15"/>
  <c r="I64" i="15"/>
  <c r="J64" i="15"/>
  <c r="K64" i="15"/>
  <c r="L64" i="15"/>
  <c r="M64" i="15"/>
  <c r="F42" i="2"/>
  <c r="D4" i="7"/>
  <c r="D3" i="14"/>
  <c r="D3" i="9"/>
  <c r="J14" i="2"/>
  <c r="K14" i="2"/>
  <c r="L14" i="2"/>
  <c r="M14" i="2"/>
  <c r="N14" i="2"/>
  <c r="O14" i="2"/>
  <c r="F5" i="2"/>
  <c r="F8" i="2"/>
  <c r="F10" i="2"/>
  <c r="F7" i="2"/>
  <c r="F15" i="2" l="1"/>
  <c r="F66" i="2"/>
  <c r="E5" i="2"/>
  <c r="C3" i="17"/>
  <c r="C47" i="17" s="1"/>
  <c r="C5" i="17"/>
  <c r="C13" i="4"/>
  <c r="C15" i="4"/>
  <c r="C26" i="4"/>
  <c r="N4" i="17"/>
  <c r="E59" i="2"/>
  <c r="E33" i="2"/>
  <c r="P33" i="2" s="1"/>
  <c r="R33" i="2" s="1"/>
  <c r="C3" i="9"/>
  <c r="C3" i="8"/>
  <c r="E25" i="2"/>
  <c r="C4" i="7"/>
  <c r="E32" i="2"/>
  <c r="C4" i="5"/>
  <c r="C9" i="17"/>
  <c r="C8" i="17"/>
  <c r="E10" i="2" l="1"/>
  <c r="E8" i="2"/>
  <c r="E15" i="2" s="1"/>
  <c r="B3" i="7" l="1"/>
  <c r="B13" i="4" l="1"/>
  <c r="B15" i="4"/>
  <c r="B9" i="4" l="1"/>
  <c r="B5" i="17" l="1"/>
  <c r="B20" i="4"/>
  <c r="B21" i="4"/>
  <c r="B7" i="17"/>
  <c r="B9" i="15"/>
  <c r="B17" i="4" l="1"/>
  <c r="H27" i="2" l="1"/>
  <c r="I27" i="2"/>
  <c r="J27" i="2"/>
  <c r="K27" i="2"/>
  <c r="L27" i="2"/>
  <c r="M27" i="2"/>
  <c r="N27" i="2"/>
  <c r="O27" i="2"/>
  <c r="B16" i="4"/>
  <c r="D8" i="2" l="1"/>
  <c r="D5" i="2"/>
  <c r="P5" i="2" s="1"/>
  <c r="B4" i="15" l="1"/>
  <c r="B10" i="4"/>
  <c r="B5" i="15"/>
  <c r="B3" i="9"/>
  <c r="B7" i="4"/>
  <c r="C45" i="2"/>
  <c r="C35" i="2"/>
  <c r="C33" i="2"/>
  <c r="B64" i="15" l="1"/>
  <c r="D27" i="2" s="1"/>
  <c r="N28" i="14"/>
  <c r="P6" i="2"/>
  <c r="N46" i="2" l="1"/>
  <c r="N7" i="5"/>
  <c r="L10" i="5"/>
  <c r="N70" i="16"/>
  <c r="N69" i="16"/>
  <c r="N68" i="16"/>
  <c r="N67" i="16"/>
  <c r="N66" i="16"/>
  <c r="L103" i="4"/>
  <c r="N18" i="2" s="1"/>
  <c r="N39" i="17"/>
  <c r="N38" i="17"/>
  <c r="N37" i="17"/>
  <c r="N42" i="17"/>
  <c r="N41" i="17"/>
  <c r="N40" i="17"/>
  <c r="N43" i="17"/>
  <c r="N44" i="17"/>
  <c r="N45" i="17"/>
  <c r="N63" i="16"/>
  <c r="N64" i="16"/>
  <c r="N65" i="16"/>
  <c r="N71" i="16"/>
  <c r="N72" i="16"/>
  <c r="N73" i="16"/>
  <c r="N74" i="16"/>
  <c r="N54" i="15"/>
  <c r="N55" i="15"/>
  <c r="N56" i="15"/>
  <c r="N57" i="15"/>
  <c r="N58" i="15"/>
  <c r="N59" i="15"/>
  <c r="N60" i="15"/>
  <c r="N61" i="15"/>
  <c r="N7" i="6"/>
  <c r="N59" i="16" l="1"/>
  <c r="N60" i="16"/>
  <c r="N61" i="16"/>
  <c r="N62" i="16"/>
  <c r="P39" i="2"/>
  <c r="N56" i="16" l="1"/>
  <c r="N57" i="16"/>
  <c r="N58" i="16"/>
  <c r="N34" i="17"/>
  <c r="N35" i="17"/>
  <c r="N36" i="17"/>
  <c r="N54" i="19"/>
  <c r="N55" i="19"/>
  <c r="N56" i="19"/>
  <c r="N57" i="19"/>
  <c r="N58" i="19"/>
  <c r="N59" i="19"/>
  <c r="M46" i="2"/>
  <c r="N13" i="20" l="1"/>
  <c r="N14" i="20"/>
  <c r="N15" i="20"/>
  <c r="N53" i="19" l="1"/>
  <c r="N60" i="19"/>
  <c r="N47" i="19"/>
  <c r="N48" i="19"/>
  <c r="N49" i="19"/>
  <c r="N50" i="19"/>
  <c r="N51" i="19"/>
  <c r="N52" i="19"/>
  <c r="N61" i="19"/>
  <c r="P10" i="2"/>
  <c r="P11" i="2"/>
  <c r="P12" i="2"/>
  <c r="L46" i="2"/>
  <c r="N29" i="17"/>
  <c r="N30" i="17"/>
  <c r="N31" i="17"/>
  <c r="N32" i="17"/>
  <c r="N33" i="17"/>
  <c r="N3" i="12" l="1"/>
  <c r="N48" i="15"/>
  <c r="N49" i="15"/>
  <c r="N50" i="15"/>
  <c r="N51" i="15"/>
  <c r="N52" i="15"/>
  <c r="N53" i="15"/>
  <c r="N50" i="16"/>
  <c r="N51" i="16"/>
  <c r="N52" i="16"/>
  <c r="N53" i="16"/>
  <c r="N54" i="16"/>
  <c r="N55" i="16"/>
  <c r="N75" i="16"/>
  <c r="K46" i="2"/>
  <c r="H62" i="19" l="1"/>
  <c r="H47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0" i="4"/>
  <c r="N41" i="4"/>
  <c r="N42" i="4"/>
  <c r="N43" i="4"/>
  <c r="N44" i="4"/>
  <c r="N45" i="4"/>
  <c r="N51" i="4"/>
  <c r="N53" i="4"/>
  <c r="N54" i="4"/>
  <c r="N55" i="4"/>
  <c r="N56" i="4"/>
  <c r="N57" i="4"/>
  <c r="N58" i="4"/>
  <c r="F9" i="6" l="1"/>
  <c r="J46" i="2" l="1"/>
  <c r="N59" i="4" l="1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L10" i="12" l="1"/>
  <c r="N24" i="2" s="1"/>
  <c r="N4" i="12"/>
  <c r="N5" i="12"/>
  <c r="N6" i="12"/>
  <c r="N7" i="12"/>
  <c r="N8" i="12"/>
  <c r="N9" i="12"/>
  <c r="I10" i="12"/>
  <c r="K24" i="2" s="1"/>
  <c r="J10" i="12"/>
  <c r="L24" i="2" s="1"/>
  <c r="K10" i="12"/>
  <c r="M24" i="2" s="1"/>
  <c r="M10" i="12"/>
  <c r="O24" i="2" s="1"/>
  <c r="P9" i="2"/>
  <c r="N10" i="12" l="1"/>
  <c r="N46" i="15" l="1"/>
  <c r="N47" i="15"/>
  <c r="N62" i="15"/>
  <c r="N39" i="15"/>
  <c r="N40" i="15"/>
  <c r="N41" i="15"/>
  <c r="N42" i="15"/>
  <c r="N43" i="15"/>
  <c r="N44" i="15"/>
  <c r="G9" i="6"/>
  <c r="H9" i="6"/>
  <c r="I9" i="6"/>
  <c r="J9" i="6"/>
  <c r="K9" i="6"/>
  <c r="I46" i="2"/>
  <c r="N37" i="15"/>
  <c r="N38" i="15"/>
  <c r="N45" i="15"/>
  <c r="N63" i="15"/>
  <c r="I15" i="2"/>
  <c r="N34" i="15"/>
  <c r="N35" i="15"/>
  <c r="N36" i="15"/>
  <c r="N29" i="16"/>
  <c r="N30" i="16"/>
  <c r="N31" i="16"/>
  <c r="N32" i="16"/>
  <c r="N33" i="15" l="1"/>
  <c r="N24" i="16"/>
  <c r="N25" i="16"/>
  <c r="N26" i="16"/>
  <c r="N27" i="16"/>
  <c r="N28" i="16"/>
  <c r="N32" i="15"/>
  <c r="D5" i="8" l="1"/>
  <c r="F22" i="2" s="1"/>
  <c r="E5" i="8"/>
  <c r="F5" i="8"/>
  <c r="H22" i="2" s="1"/>
  <c r="G5" i="8"/>
  <c r="I22" i="2" s="1"/>
  <c r="H5" i="8"/>
  <c r="J22" i="2" s="1"/>
  <c r="I5" i="8"/>
  <c r="K22" i="2" s="1"/>
  <c r="J5" i="8"/>
  <c r="L22" i="2" s="1"/>
  <c r="K5" i="8"/>
  <c r="M22" i="2" s="1"/>
  <c r="L5" i="8"/>
  <c r="N22" i="2" s="1"/>
  <c r="N28" i="15"/>
  <c r="N29" i="15"/>
  <c r="N30" i="15"/>
  <c r="N31" i="15"/>
  <c r="N23" i="15"/>
  <c r="N22" i="15"/>
  <c r="N24" i="15"/>
  <c r="N25" i="15"/>
  <c r="N26" i="15"/>
  <c r="N27" i="15"/>
  <c r="N8" i="20"/>
  <c r="N7" i="20" l="1"/>
  <c r="N6" i="20"/>
  <c r="N5" i="20"/>
  <c r="N4" i="20"/>
  <c r="D6" i="9" l="1"/>
  <c r="E6" i="9"/>
  <c r="F6" i="9"/>
  <c r="G6" i="9"/>
  <c r="H6" i="9"/>
  <c r="I6" i="9"/>
  <c r="J6" i="9"/>
  <c r="K6" i="9"/>
  <c r="L6" i="9"/>
  <c r="M6" i="9"/>
  <c r="N21" i="15"/>
  <c r="N6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46" i="17"/>
  <c r="N3" i="17"/>
  <c r="E47" i="17"/>
  <c r="F47" i="17"/>
  <c r="G47" i="17"/>
  <c r="I47" i="17"/>
  <c r="J47" i="17"/>
  <c r="K47" i="17"/>
  <c r="L47" i="17"/>
  <c r="M47" i="17"/>
  <c r="D47" i="17"/>
  <c r="F29" i="2" s="1"/>
  <c r="F27" i="2"/>
  <c r="N5" i="17" l="1"/>
  <c r="N11" i="15"/>
  <c r="E66" i="2" l="1"/>
  <c r="N7" i="17"/>
  <c r="N7" i="19"/>
  <c r="N8" i="19"/>
  <c r="N9" i="19"/>
  <c r="N10" i="19"/>
  <c r="N11" i="19"/>
  <c r="N12" i="19"/>
  <c r="N13" i="19"/>
  <c r="P41" i="2" l="1"/>
  <c r="R41" i="2" s="1"/>
  <c r="C41" i="2"/>
  <c r="C42" i="2"/>
  <c r="D55" i="20"/>
  <c r="E55" i="20"/>
  <c r="G36" i="2" s="1"/>
  <c r="F55" i="20"/>
  <c r="G55" i="20"/>
  <c r="I36" i="2" s="1"/>
  <c r="H55" i="20"/>
  <c r="J36" i="2" s="1"/>
  <c r="I55" i="20"/>
  <c r="K36" i="2" s="1"/>
  <c r="J55" i="20"/>
  <c r="L36" i="2" s="1"/>
  <c r="K55" i="20"/>
  <c r="M36" i="2" s="1"/>
  <c r="L55" i="20"/>
  <c r="N36" i="2" s="1"/>
  <c r="M55" i="20"/>
  <c r="O36" i="2" s="1"/>
  <c r="D62" i="19"/>
  <c r="F30" i="2" s="1"/>
  <c r="E62" i="19"/>
  <c r="F62" i="19"/>
  <c r="H30" i="2" s="1"/>
  <c r="G62" i="19"/>
  <c r="I30" i="2" s="1"/>
  <c r="J30" i="2"/>
  <c r="I62" i="19"/>
  <c r="K30" i="2" s="1"/>
  <c r="J62" i="19"/>
  <c r="L30" i="2" s="1"/>
  <c r="K62" i="19"/>
  <c r="M30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H29" i="2"/>
  <c r="I29" i="2"/>
  <c r="J29" i="2"/>
  <c r="K29" i="2"/>
  <c r="L29" i="2"/>
  <c r="D77" i="16"/>
  <c r="F28" i="2" s="1"/>
  <c r="E77" i="16"/>
  <c r="F77" i="16"/>
  <c r="H28" i="2" s="1"/>
  <c r="G77" i="16"/>
  <c r="I28" i="2" s="1"/>
  <c r="J28" i="2"/>
  <c r="I77" i="16"/>
  <c r="K28" i="2" s="1"/>
  <c r="D31" i="14"/>
  <c r="F26" i="2" s="1"/>
  <c r="E31" i="14"/>
  <c r="G26" i="2" s="1"/>
  <c r="F31" i="14"/>
  <c r="H26" i="2" s="1"/>
  <c r="G31" i="14"/>
  <c r="I26" i="2" s="1"/>
  <c r="H31" i="14"/>
  <c r="J26" i="2" s="1"/>
  <c r="I31" i="14"/>
  <c r="K26" i="2" s="1"/>
  <c r="J31" i="14"/>
  <c r="L26" i="2" s="1"/>
  <c r="K31" i="14"/>
  <c r="M26" i="2" s="1"/>
  <c r="L31" i="14"/>
  <c r="N26" i="2" s="1"/>
  <c r="M31" i="14"/>
  <c r="O26" i="2" s="1"/>
  <c r="N19" i="2"/>
  <c r="I20" i="2"/>
  <c r="J20" i="2"/>
  <c r="K20" i="2"/>
  <c r="L20" i="2"/>
  <c r="M20" i="2"/>
  <c r="F23" i="2"/>
  <c r="I23" i="2"/>
  <c r="J23" i="2"/>
  <c r="J15" i="2"/>
  <c r="K15" i="2"/>
  <c r="L15" i="2"/>
  <c r="M15" i="2"/>
  <c r="N15" i="2"/>
  <c r="O15" i="2"/>
  <c r="R6" i="2"/>
  <c r="D6" i="7"/>
  <c r="F21" i="2" s="1"/>
  <c r="E6" i="7"/>
  <c r="F6" i="7"/>
  <c r="G6" i="7"/>
  <c r="I21" i="2" s="1"/>
  <c r="H6" i="7"/>
  <c r="J21" i="2" s="1"/>
  <c r="I6" i="7"/>
  <c r="K21" i="2" s="1"/>
  <c r="J6" i="7"/>
  <c r="L21" i="2" s="1"/>
  <c r="K6" i="7"/>
  <c r="M21" i="2" s="1"/>
  <c r="N4" i="5"/>
  <c r="N5" i="5"/>
  <c r="N6" i="5"/>
  <c r="N3" i="5"/>
  <c r="M10" i="5"/>
  <c r="O19" i="2" s="1"/>
  <c r="K10" i="5"/>
  <c r="M19" i="2" s="1"/>
  <c r="J10" i="5"/>
  <c r="L19" i="2" s="1"/>
  <c r="I10" i="5"/>
  <c r="K19" i="2" s="1"/>
  <c r="I103" i="4"/>
  <c r="K18" i="2" s="1"/>
  <c r="H103" i="4"/>
  <c r="J18" i="2" s="1"/>
  <c r="K103" i="4"/>
  <c r="M18" i="2" s="1"/>
  <c r="J103" i="4"/>
  <c r="L18" i="2" s="1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10" i="5" l="1"/>
  <c r="D14" i="2" l="1"/>
  <c r="N3" i="20"/>
  <c r="B62" i="19"/>
  <c r="N10" i="15"/>
  <c r="N12" i="15"/>
  <c r="N13" i="15"/>
  <c r="N14" i="15"/>
  <c r="N15" i="15"/>
  <c r="N16" i="15"/>
  <c r="N17" i="15"/>
  <c r="N9" i="15"/>
  <c r="N3" i="15"/>
  <c r="H15" i="2" l="1"/>
  <c r="N8" i="17" l="1"/>
  <c r="N47" i="17" s="1"/>
  <c r="B47" i="17"/>
  <c r="D15" i="2"/>
  <c r="C62" i="19"/>
  <c r="E30" i="2" s="1"/>
  <c r="L62" i="19"/>
  <c r="N30" i="2" s="1"/>
  <c r="M62" i="19"/>
  <c r="O30" i="2" s="1"/>
  <c r="N5" i="15"/>
  <c r="N4" i="14"/>
  <c r="N5" i="14"/>
  <c r="N6" i="14"/>
  <c r="N7" i="14"/>
  <c r="N8" i="14"/>
  <c r="N9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9" i="14"/>
  <c r="N30" i="14"/>
  <c r="N3" i="14"/>
  <c r="B55" i="20"/>
  <c r="D36" i="2" s="1"/>
  <c r="C55" i="20"/>
  <c r="E36" i="2" s="1"/>
  <c r="D66" i="2" l="1"/>
  <c r="P15" i="2"/>
  <c r="N31" i="14"/>
  <c r="N13" i="4"/>
  <c r="N14" i="4"/>
  <c r="N15" i="4"/>
  <c r="N16" i="4"/>
  <c r="N17" i="4"/>
  <c r="N18" i="4"/>
  <c r="C43" i="2" l="1"/>
  <c r="C44" i="2"/>
  <c r="C40" i="2"/>
  <c r="C39" i="2"/>
  <c r="C31" i="2"/>
  <c r="C30" i="2"/>
  <c r="Q30" i="2" s="1"/>
  <c r="C32" i="2"/>
  <c r="C34" i="2"/>
  <c r="C36" i="2"/>
  <c r="C22" i="2"/>
  <c r="Q22" i="2" s="1"/>
  <c r="C46" i="2" l="1"/>
  <c r="N4" i="19" l="1"/>
  <c r="N3" i="19"/>
  <c r="N41" i="19"/>
  <c r="N40" i="19"/>
  <c r="N6" i="19"/>
  <c r="N5" i="19"/>
  <c r="B9" i="6" l="1"/>
  <c r="C9" i="6"/>
  <c r="D9" i="6"/>
  <c r="F20" i="2" s="1"/>
  <c r="E9" i="6"/>
  <c r="H20" i="2"/>
  <c r="L9" i="6"/>
  <c r="N20" i="2" s="1"/>
  <c r="M9" i="6"/>
  <c r="O20" i="2" s="1"/>
  <c r="E20" i="2" l="1"/>
  <c r="N12" i="4" l="1"/>
  <c r="N9" i="4"/>
  <c r="P43" i="2" l="1"/>
  <c r="R43" i="2" s="1"/>
  <c r="B46" i="2"/>
  <c r="N4" i="16"/>
  <c r="N5" i="16"/>
  <c r="N6" i="16"/>
  <c r="N7" i="16"/>
  <c r="N8" i="16"/>
  <c r="N9" i="16"/>
  <c r="N4" i="7"/>
  <c r="N16" i="20"/>
  <c r="K31" i="1"/>
  <c r="D29" i="2"/>
  <c r="E29" i="2"/>
  <c r="M29" i="2"/>
  <c r="N29" i="2"/>
  <c r="O29" i="2"/>
  <c r="B1" i="4"/>
  <c r="B103" i="4" s="1"/>
  <c r="P34" i="2"/>
  <c r="R34" i="2" s="1"/>
  <c r="P40" i="2"/>
  <c r="R40" i="2" s="1"/>
  <c r="M6" i="7"/>
  <c r="O21" i="2" s="1"/>
  <c r="N18" i="15"/>
  <c r="N19" i="15"/>
  <c r="N18" i="20"/>
  <c r="N20" i="15"/>
  <c r="N5" i="9"/>
  <c r="F103" i="4"/>
  <c r="H18" i="2" s="1"/>
  <c r="K77" i="16"/>
  <c r="M28" i="2" s="1"/>
  <c r="P32" i="2"/>
  <c r="R32" i="2" s="1"/>
  <c r="P8" i="2"/>
  <c r="C103" i="4"/>
  <c r="E18" i="2" s="1"/>
  <c r="C6" i="7"/>
  <c r="N7" i="15"/>
  <c r="N8" i="15"/>
  <c r="N3" i="6"/>
  <c r="D20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30" i="2"/>
  <c r="N46" i="19"/>
  <c r="N45" i="19"/>
  <c r="N44" i="19"/>
  <c r="N43" i="19"/>
  <c r="N42" i="19"/>
  <c r="B1" i="19"/>
  <c r="D1" i="17"/>
  <c r="M77" i="16"/>
  <c r="O28" i="2" s="1"/>
  <c r="L77" i="16"/>
  <c r="N28" i="2" s="1"/>
  <c r="J77" i="16"/>
  <c r="L28" i="2" s="1"/>
  <c r="B77" i="16"/>
  <c r="D28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E27" i="2"/>
  <c r="N6" i="15"/>
  <c r="B1" i="15"/>
  <c r="C31" i="14"/>
  <c r="E26" i="2" s="1"/>
  <c r="B31" i="14"/>
  <c r="D26" i="2" s="1"/>
  <c r="B1" i="14"/>
  <c r="H10" i="12"/>
  <c r="G10" i="12"/>
  <c r="I24" i="2" s="1"/>
  <c r="F10" i="12"/>
  <c r="H24" i="2" s="1"/>
  <c r="E10" i="12"/>
  <c r="D10" i="12"/>
  <c r="F24" i="2" s="1"/>
  <c r="C10" i="12"/>
  <c r="E24" i="2" s="1"/>
  <c r="B10" i="12"/>
  <c r="D24" i="2" s="1"/>
  <c r="K20" i="1"/>
  <c r="B1" i="12"/>
  <c r="N21" i="1"/>
  <c r="O23" i="2"/>
  <c r="M23" i="2"/>
  <c r="L23" i="2"/>
  <c r="K23" i="2"/>
  <c r="C6" i="9"/>
  <c r="B6" i="9"/>
  <c r="D23" i="2" s="1"/>
  <c r="N4" i="9"/>
  <c r="N3" i="9"/>
  <c r="B1" i="9"/>
  <c r="M5" i="8"/>
  <c r="O22" i="2" s="1"/>
  <c r="C5" i="8"/>
  <c r="E22" i="2" s="1"/>
  <c r="B5" i="8"/>
  <c r="D22" i="2" s="1"/>
  <c r="N4" i="8"/>
  <c r="N3" i="8"/>
  <c r="B1" i="8"/>
  <c r="L6" i="7"/>
  <c r="N21" i="2" s="1"/>
  <c r="B6" i="7"/>
  <c r="D21" i="2" s="1"/>
  <c r="B1" i="7"/>
  <c r="N6" i="6"/>
  <c r="N5" i="6"/>
  <c r="N4" i="6"/>
  <c r="B1" i="6"/>
  <c r="H10" i="5"/>
  <c r="J19" i="2" s="1"/>
  <c r="G10" i="5"/>
  <c r="I19" i="2" s="1"/>
  <c r="F10" i="5"/>
  <c r="H19" i="2" s="1"/>
  <c r="E10" i="5"/>
  <c r="G19" i="2" s="1"/>
  <c r="D10" i="5"/>
  <c r="F19" i="2" s="1"/>
  <c r="C10" i="5"/>
  <c r="E19" i="2" s="1"/>
  <c r="B10" i="5"/>
  <c r="N13" i="1" s="1"/>
  <c r="B1" i="5"/>
  <c r="M103" i="4"/>
  <c r="O18" i="2" s="1"/>
  <c r="G103" i="4"/>
  <c r="I18" i="2" s="1"/>
  <c r="E103" i="4"/>
  <c r="D103" i="4"/>
  <c r="F18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T30" i="3"/>
  <c r="G30" i="3"/>
  <c r="T29" i="3"/>
  <c r="G29" i="3"/>
  <c r="T28" i="3"/>
  <c r="G28" i="3"/>
  <c r="T27" i="3"/>
  <c r="G27" i="3"/>
  <c r="U27" i="3" s="1"/>
  <c r="T26" i="3"/>
  <c r="G26" i="3"/>
  <c r="T25" i="3"/>
  <c r="G25" i="3"/>
  <c r="T24" i="3"/>
  <c r="F24" i="3"/>
  <c r="T23" i="3"/>
  <c r="G23" i="3"/>
  <c r="T22" i="3"/>
  <c r="G22" i="3"/>
  <c r="T21" i="3"/>
  <c r="G21" i="3"/>
  <c r="T20" i="3"/>
  <c r="G20" i="3"/>
  <c r="T19" i="3"/>
  <c r="G19" i="3"/>
  <c r="U19" i="3" s="1"/>
  <c r="T18" i="3"/>
  <c r="G18" i="3"/>
  <c r="T17" i="3"/>
  <c r="G17" i="3"/>
  <c r="T16" i="3"/>
  <c r="G16" i="3"/>
  <c r="T15" i="3"/>
  <c r="G15" i="3"/>
  <c r="T14" i="3"/>
  <c r="G14" i="3"/>
  <c r="T13" i="3"/>
  <c r="G13" i="3"/>
  <c r="U13" i="3" s="1"/>
  <c r="T12" i="3"/>
  <c r="G12" i="3"/>
  <c r="F10" i="3"/>
  <c r="H9" i="3"/>
  <c r="T9" i="3" s="1"/>
  <c r="T8" i="3"/>
  <c r="T7" i="3"/>
  <c r="T6" i="3"/>
  <c r="T5" i="3"/>
  <c r="T4" i="3"/>
  <c r="G4" i="3"/>
  <c r="G10" i="3" s="1"/>
  <c r="R39" i="2"/>
  <c r="C29" i="2"/>
  <c r="Q29" i="2" s="1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1" i="2"/>
  <c r="Q21" i="2" s="1"/>
  <c r="C20" i="2"/>
  <c r="Q20" i="2" s="1"/>
  <c r="C19" i="2"/>
  <c r="Q19" i="2" s="1"/>
  <c r="C18" i="2"/>
  <c r="B15" i="2"/>
  <c r="B16" i="2" s="1"/>
  <c r="C8" i="2"/>
  <c r="Q8" i="2" s="1"/>
  <c r="P7" i="2"/>
  <c r="C7" i="2"/>
  <c r="Q7" i="2" s="1"/>
  <c r="C5" i="2"/>
  <c r="Q5" i="2" s="1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 s="1"/>
  <c r="N27" i="1"/>
  <c r="M27" i="1"/>
  <c r="L27" i="1"/>
  <c r="K27" i="1"/>
  <c r="J27" i="1"/>
  <c r="I27" i="1"/>
  <c r="U27" i="1" s="1"/>
  <c r="G27" i="1"/>
  <c r="V27" i="1" s="1"/>
  <c r="G26" i="1"/>
  <c r="V26" i="1" s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 s="1"/>
  <c r="L21" i="1"/>
  <c r="I21" i="1"/>
  <c r="G21" i="1"/>
  <c r="V21" i="1" s="1"/>
  <c r="G20" i="1"/>
  <c r="G19" i="1"/>
  <c r="V19" i="1" s="1"/>
  <c r="N18" i="1"/>
  <c r="M18" i="1"/>
  <c r="L18" i="1"/>
  <c r="G18" i="1"/>
  <c r="V18" i="1" s="1"/>
  <c r="M17" i="1"/>
  <c r="L17" i="1"/>
  <c r="K17" i="1"/>
  <c r="J17" i="1"/>
  <c r="I17" i="1"/>
  <c r="G17" i="1"/>
  <c r="V17" i="1" s="1"/>
  <c r="G16" i="1"/>
  <c r="V16" i="1" s="1"/>
  <c r="N15" i="1"/>
  <c r="M15" i="1"/>
  <c r="L15" i="1"/>
  <c r="K15" i="1"/>
  <c r="J15" i="1"/>
  <c r="I15" i="1"/>
  <c r="U15" i="1" s="1"/>
  <c r="G15" i="1"/>
  <c r="V15" i="1" s="1"/>
  <c r="N14" i="1"/>
  <c r="L14" i="1"/>
  <c r="K14" i="1"/>
  <c r="G14" i="1"/>
  <c r="V14" i="1" s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 s="1"/>
  <c r="W9" i="1" s="1"/>
  <c r="U8" i="1"/>
  <c r="I7" i="1"/>
  <c r="U7" i="1"/>
  <c r="G7" i="1"/>
  <c r="V7" i="1" s="1"/>
  <c r="U6" i="1"/>
  <c r="U5" i="1"/>
  <c r="G5" i="1"/>
  <c r="V5" i="1" s="1"/>
  <c r="L20" i="1"/>
  <c r="U26" i="3"/>
  <c r="U22" i="3"/>
  <c r="U32" i="3"/>
  <c r="H10" i="3"/>
  <c r="N3" i="7"/>
  <c r="M21" i="1"/>
  <c r="J22" i="1"/>
  <c r="F33" i="3"/>
  <c r="G24" i="3"/>
  <c r="U24" i="3" s="1"/>
  <c r="K21" i="1"/>
  <c r="N11" i="4"/>
  <c r="G32" i="1" l="1"/>
  <c r="V32" i="1" s="1"/>
  <c r="G33" i="3"/>
  <c r="U20" i="3"/>
  <c r="U28" i="3"/>
  <c r="T33" i="3"/>
  <c r="U15" i="3"/>
  <c r="U21" i="3"/>
  <c r="U31" i="3"/>
  <c r="N103" i="4"/>
  <c r="N104" i="4" s="1"/>
  <c r="O4" i="2"/>
  <c r="N4" i="2"/>
  <c r="M4" i="2"/>
  <c r="L4" i="2"/>
  <c r="K4" i="2"/>
  <c r="J4" i="2"/>
  <c r="I4" i="2"/>
  <c r="H4" i="2"/>
  <c r="G4" i="2"/>
  <c r="F4" i="2"/>
  <c r="J24" i="2"/>
  <c r="J37" i="2" s="1"/>
  <c r="J48" i="2" s="1"/>
  <c r="J67" i="2" s="1"/>
  <c r="N12" i="12"/>
  <c r="H37" i="2"/>
  <c r="G37" i="2"/>
  <c r="G48" i="2" s="1"/>
  <c r="G67" i="2" s="1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7" i="8" s="1"/>
  <c r="N20" i="1"/>
  <c r="P22" i="2"/>
  <c r="R22" i="2" s="1"/>
  <c r="U12" i="3"/>
  <c r="W27" i="1"/>
  <c r="U17" i="3"/>
  <c r="L37" i="2"/>
  <c r="L48" i="2" s="1"/>
  <c r="L67" i="2" s="1"/>
  <c r="E23" i="2"/>
  <c r="M37" i="2"/>
  <c r="M48" i="2" s="1"/>
  <c r="M67" i="2" s="1"/>
  <c r="F37" i="2"/>
  <c r="I37" i="2"/>
  <c r="I48" i="2" s="1"/>
  <c r="I67" i="2" s="1"/>
  <c r="D19" i="2"/>
  <c r="N12" i="5"/>
  <c r="E21" i="2"/>
  <c r="P21" i="2" s="1"/>
  <c r="R21" i="2" s="1"/>
  <c r="O37" i="2"/>
  <c r="R7" i="2"/>
  <c r="R8" i="2"/>
  <c r="D18" i="2"/>
  <c r="N17" i="1"/>
  <c r="N16" i="1"/>
  <c r="Q18" i="2"/>
  <c r="C37" i="2"/>
  <c r="C48" i="2" s="1"/>
  <c r="N55" i="20"/>
  <c r="P36" i="2" s="1"/>
  <c r="R36" i="2" s="1"/>
  <c r="K28" i="1"/>
  <c r="B37" i="2"/>
  <c r="B48" i="2" s="1"/>
  <c r="N19" i="1"/>
  <c r="J28" i="1"/>
  <c r="L31" i="1"/>
  <c r="M31" i="1"/>
  <c r="I28" i="1"/>
  <c r="Q15" i="2"/>
  <c r="R15" i="2" s="1"/>
  <c r="M13" i="1"/>
  <c r="L26" i="1"/>
  <c r="M28" i="1"/>
  <c r="N9" i="6"/>
  <c r="N11" i="6" s="1"/>
  <c r="C15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K23" i="1"/>
  <c r="L22" i="1"/>
  <c r="J20" i="1"/>
  <c r="M20" i="1"/>
  <c r="J21" i="1"/>
  <c r="U21" i="1" s="1"/>
  <c r="W21" i="1" s="1"/>
  <c r="U17" i="1"/>
  <c r="W17" i="1" s="1"/>
  <c r="J16" i="1"/>
  <c r="K16" i="1"/>
  <c r="L16" i="1"/>
  <c r="M14" i="1"/>
  <c r="L32" i="1"/>
  <c r="I26" i="1"/>
  <c r="N6" i="9"/>
  <c r="U13" i="1"/>
  <c r="W13" i="1" s="1"/>
  <c r="U12" i="1"/>
  <c r="L29" i="1"/>
  <c r="P20" i="2"/>
  <c r="R20" i="2" s="1"/>
  <c r="J18" i="1"/>
  <c r="I18" i="1"/>
  <c r="M16" i="1"/>
  <c r="N23" i="2"/>
  <c r="P25" i="2"/>
  <c r="R25" i="2" s="1"/>
  <c r="N62" i="19"/>
  <c r="N10" i="16"/>
  <c r="N77" i="16" s="1"/>
  <c r="C77" i="16"/>
  <c r="E28" i="2" s="1"/>
  <c r="P29" i="2"/>
  <c r="R29" i="2" s="1"/>
  <c r="P44" i="2"/>
  <c r="R44" i="2" s="1"/>
  <c r="N6" i="7"/>
  <c r="N8" i="7" s="1"/>
  <c r="U25" i="3"/>
  <c r="U30" i="3"/>
  <c r="N4" i="15"/>
  <c r="N64" i="15" s="1"/>
  <c r="P42" i="2"/>
  <c r="R42" i="2" s="1"/>
  <c r="P31" i="2"/>
  <c r="R31" i="2" s="1"/>
  <c r="U33" i="3" l="1"/>
  <c r="N66" i="15"/>
  <c r="P24" i="2"/>
  <c r="R24" i="2" s="1"/>
  <c r="P19" i="2"/>
  <c r="R19" i="2" s="1"/>
  <c r="N37" i="2"/>
  <c r="N48" i="2" s="1"/>
  <c r="N67" i="2" s="1"/>
  <c r="H48" i="2"/>
  <c r="H67" i="2" s="1"/>
  <c r="D37" i="2"/>
  <c r="D48" i="2" s="1"/>
  <c r="D68" i="2" s="1"/>
  <c r="N8" i="9"/>
  <c r="F48" i="2"/>
  <c r="E37" i="2"/>
  <c r="E48" i="2" s="1"/>
  <c r="E68" i="2" s="1"/>
  <c r="O48" i="2"/>
  <c r="O67" i="2" s="1"/>
  <c r="R5" i="2"/>
  <c r="K37" i="2"/>
  <c r="K48" i="2" s="1"/>
  <c r="K67" i="2" s="1"/>
  <c r="N57" i="20"/>
  <c r="N49" i="17"/>
  <c r="P27" i="2"/>
  <c r="R27" i="2" s="1"/>
  <c r="N33" i="14"/>
  <c r="P26" i="2"/>
  <c r="R26" i="2" s="1"/>
  <c r="U22" i="1"/>
  <c r="W22" i="1" s="1"/>
  <c r="P46" i="2"/>
  <c r="R46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8" i="2"/>
  <c r="R28" i="2" s="1"/>
  <c r="J26" i="1"/>
  <c r="U26" i="1" s="1"/>
  <c r="W26" i="1" s="1"/>
  <c r="P30" i="2"/>
  <c r="R30" i="2" s="1"/>
  <c r="J29" i="1"/>
  <c r="U29" i="1" s="1"/>
  <c r="W29" i="1" s="1"/>
  <c r="P18" i="2"/>
  <c r="R18" i="2" s="1"/>
  <c r="P23" i="2"/>
  <c r="R23" i="2" s="1"/>
  <c r="F67" i="2" l="1"/>
  <c r="F68" i="2"/>
  <c r="E67" i="2"/>
  <c r="D67" i="2"/>
  <c r="P37" i="2"/>
  <c r="P48" i="2" s="1"/>
  <c r="U32" i="1"/>
  <c r="W32" i="1"/>
  <c r="R37" i="2"/>
  <c r="R48" i="2" s="1"/>
</calcChain>
</file>

<file path=xl/sharedStrings.xml><?xml version="1.0" encoding="utf-8"?>
<sst xmlns="http://schemas.openxmlformats.org/spreadsheetml/2006/main" count="590" uniqueCount="323">
  <si>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</si>
  <si>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</si>
  <si>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</si>
  <si>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</si>
  <si>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</si>
  <si>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</si>
  <si>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</si>
  <si>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</si>
  <si>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</si>
  <si>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</si>
  <si>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</si>
  <si>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</si>
  <si>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</si>
  <si>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</si>
  <si>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</si>
  <si>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</si>
  <si>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</si>
  <si>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</si>
  <si>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</si>
  <si>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</si>
  <si>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</si>
  <si>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</si>
  <si>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</si>
  <si>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</si>
  <si>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</si>
  <si>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</si>
  <si>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</si>
  <si>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</si>
  <si>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</si>
  <si>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</si>
  <si>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</si>
  <si>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</si>
  <si>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</si>
  <si>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</si>
  <si>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</si>
  <si>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</si>
  <si>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</si>
  <si>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</si>
  <si>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</si>
  <si>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</si>
  <si>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</si>
  <si>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</si>
  <si>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</si>
  <si>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</si>
  <si>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</si>
  <si>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</si>
  <si>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</si>
  <si>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</si>
  <si>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</si>
  <si>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</si>
  <si>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</si>
  <si>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</si>
  <si>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</si>
  <si>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</si>
  <si>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</si>
  <si>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</si>
  <si>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</si>
  <si>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</si>
  <si>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</si>
  <si>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</si>
  <si>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</si>
  <si>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</si>
  <si>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</si>
  <si>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</si>
  <si>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</si>
  <si>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</si>
  <si>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</si>
  <si>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</si>
  <si>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</si>
  <si>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</si>
  <si>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</si>
  <si>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</si>
  <si>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</si>
  <si>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</si>
  <si>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</si>
  <si>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</si>
  <si>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</si>
  <si>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</si>
  <si>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</si>
  <si>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</si>
  <si>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</si>
  <si>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</si>
  <si>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</si>
  <si>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</si>
  <si>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</si>
  <si>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</si>
  <si>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</si>
  <si>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</si>
  <si>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</si>
  <si>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</si>
  <si>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</si>
  <si>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</si>
  <si>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</si>
  <si>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</si>
  <si>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</si>
  <si>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</si>
  <si>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</si>
  <si>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</si>
  <si>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</si>
  <si>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</si>
  <si>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</si>
  <si>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</si>
  <si>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</si>
  <si>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</si>
  <si>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</si>
  <si>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</si>
  <si>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</si>
  <si>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</si>
  <si>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</si>
  <si>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УСН</t>
  </si>
  <si>
    <t>анализ воды</t>
  </si>
  <si>
    <t>Яндекс-диск</t>
  </si>
  <si>
    <t>Главный бухгалтер</t>
  </si>
  <si>
    <t>перчатки</t>
  </si>
  <si>
    <t>Начальный взнос за подключение</t>
  </si>
  <si>
    <t>хоз.товары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</si>
  <si>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</si>
  <si>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</si>
  <si>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</si>
  <si>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</si>
  <si>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</si>
  <si>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</si>
  <si>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</si>
  <si>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х</t>
  </si>
  <si>
    <t>Содержание спецавтотранспорта</t>
  </si>
  <si>
    <t>Поступление оплаты по коммерч. дог. , РСК, % по депозитам</t>
  </si>
  <si>
    <t>песок, щебень</t>
  </si>
  <si>
    <t>Пакеты</t>
  </si>
  <si>
    <t>Ростелеком</t>
  </si>
  <si>
    <t>ККТ</t>
  </si>
  <si>
    <t>устранение засора</t>
  </si>
  <si>
    <t>ТЕРМИНАЛ</t>
  </si>
  <si>
    <t>на начало</t>
  </si>
  <si>
    <t>на конец</t>
  </si>
  <si>
    <t>71сч. п/отчет</t>
  </si>
  <si>
    <t>БАНК 51 сч.</t>
  </si>
  <si>
    <t>приход</t>
  </si>
  <si>
    <t>расход</t>
  </si>
  <si>
    <t>2024-2025гг.</t>
  </si>
  <si>
    <t>Фонд поощрения РК</t>
  </si>
  <si>
    <t>Социальн. налоги с Фонда поощр. РК</t>
  </si>
  <si>
    <t>Асфальтирование дорог, ямочный ремонт</t>
  </si>
  <si>
    <t>Пост охраны КПП-2</t>
  </si>
  <si>
    <t>Тех.проект ВЗУ</t>
  </si>
  <si>
    <t>Трактор с навесным оборудованием</t>
  </si>
  <si>
    <t>Ротор, крепление ротора</t>
  </si>
  <si>
    <t>Компрессор на ОС</t>
  </si>
  <si>
    <t>Оформление точки сброса</t>
  </si>
  <si>
    <t>хомут ремонтный</t>
  </si>
  <si>
    <t>кран-шар</t>
  </si>
  <si>
    <t>вода питьевая</t>
  </si>
  <si>
    <t>гос пошлина</t>
  </si>
  <si>
    <t>канц. Товары</t>
  </si>
  <si>
    <t>1С</t>
  </si>
  <si>
    <t>доставка</t>
  </si>
  <si>
    <t>Гринсервис</t>
  </si>
  <si>
    <t>илосос</t>
  </si>
  <si>
    <t>машина д/прочистки труб</t>
  </si>
  <si>
    <t>з/части</t>
  </si>
  <si>
    <t>баннер</t>
  </si>
  <si>
    <t>юр.усл. Оформление земли ОС</t>
  </si>
  <si>
    <t>ПРОВЕРКА</t>
  </si>
  <si>
    <t>эл.магн. Клапан</t>
  </si>
  <si>
    <t>услуги нотариуса</t>
  </si>
  <si>
    <t>пломба пластиковая</t>
  </si>
  <si>
    <t>почтовые расходы</t>
  </si>
  <si>
    <t>баннер новогодний 2 шт</t>
  </si>
  <si>
    <t>мешки для мусора</t>
  </si>
  <si>
    <t>пленка, газ.баллон, горелка</t>
  </si>
  <si>
    <t>пена монт., электроды, диск отр.</t>
  </si>
  <si>
    <t>светильник, лампы</t>
  </si>
  <si>
    <t>сверильник</t>
  </si>
  <si>
    <t>бензин А-95</t>
  </si>
  <si>
    <t>смазка, щетка для снега</t>
  </si>
  <si>
    <t>краска</t>
  </si>
  <si>
    <t>лопаты снег., скотч, мешки, хомуты</t>
  </si>
  <si>
    <t>спец.одежда</t>
  </si>
  <si>
    <t>диски отр.</t>
  </si>
  <si>
    <t>прокладка паронитовая</t>
  </si>
  <si>
    <t>пескобетон</t>
  </si>
  <si>
    <t>ель живая</t>
  </si>
  <si>
    <t>ключи гаечные</t>
  </si>
  <si>
    <t>молоток</t>
  </si>
  <si>
    <t>топор</t>
  </si>
  <si>
    <t>остаток на р/с</t>
  </si>
  <si>
    <t>Компенсация С2</t>
  </si>
  <si>
    <t>Компенсация судебных издержек</t>
  </si>
  <si>
    <t>Внутреннее перемещение ДС</t>
  </si>
  <si>
    <t>откачка МТК</t>
  </si>
  <si>
    <t>Госпошлина ТО тракторная техника</t>
  </si>
  <si>
    <t xml:space="preserve">              </t>
  </si>
  <si>
    <t>ТО Ларгус + запчасти</t>
  </si>
  <si>
    <t>Рег. Оператор</t>
  </si>
  <si>
    <t>гос.пошлина суд должники</t>
  </si>
  <si>
    <t>изготовление пропусков</t>
  </si>
  <si>
    <t>объявления по поиску сотрудников</t>
  </si>
  <si>
    <t>муфта, нипель, лен</t>
  </si>
  <si>
    <t>тепловентилятор</t>
  </si>
  <si>
    <t>щетки стеклоочистителя</t>
  </si>
  <si>
    <t>стеклоочиститель</t>
  </si>
  <si>
    <t>ремни</t>
  </si>
  <si>
    <t>ДТ</t>
  </si>
  <si>
    <t>дистилированная вода</t>
  </si>
  <si>
    <t>бензин А-92</t>
  </si>
  <si>
    <t>подшипник универсальный</t>
  </si>
  <si>
    <t>уголок крепежный</t>
  </si>
  <si>
    <t>терморегулятор</t>
  </si>
  <si>
    <t>лампы</t>
  </si>
  <si>
    <t>огнетушитель</t>
  </si>
  <si>
    <t>картридж д/принтера</t>
  </si>
  <si>
    <t>арматура</t>
  </si>
  <si>
    <t>крепеж</t>
  </si>
  <si>
    <t>масл.радиатор</t>
  </si>
  <si>
    <t>стиральный порошок</t>
  </si>
  <si>
    <t>светильник уличный</t>
  </si>
  <si>
    <t>автомат,Ю розетка, гофра</t>
  </si>
  <si>
    <t>трос д/снегоуборочника</t>
  </si>
  <si>
    <t>фонарь задний, стеклоочиститель</t>
  </si>
  <si>
    <t>Депозит</t>
  </si>
  <si>
    <t>РЕЕСТРЫ СБ</t>
  </si>
  <si>
    <t>ОСАГО трактор</t>
  </si>
  <si>
    <t>Водный налог</t>
  </si>
  <si>
    <t>С2 иссл. Сточных вод</t>
  </si>
  <si>
    <t>С2 гидролог.иссл. Водоема</t>
  </si>
  <si>
    <t>трансп. Налог</t>
  </si>
  <si>
    <t>экологическая отчетность</t>
  </si>
  <si>
    <t>лопаты, перчатки, мешки</t>
  </si>
  <si>
    <t>розетка</t>
  </si>
  <si>
    <t>швеллер</t>
  </si>
  <si>
    <t>болты, гайки</t>
  </si>
  <si>
    <t>хомут, штуцер</t>
  </si>
  <si>
    <t>сантехника</t>
  </si>
  <si>
    <t>заглушка</t>
  </si>
  <si>
    <t>кран, муфта, угол, картридж, труба</t>
  </si>
  <si>
    <t>полотенца,мыло,пакеты,салфетки</t>
  </si>
  <si>
    <t>калькулятор</t>
  </si>
  <si>
    <t>датчик давлен. Воды</t>
  </si>
  <si>
    <t>кран</t>
  </si>
  <si>
    <t>попл. Выкл. Для насоса</t>
  </si>
  <si>
    <t>уголок</t>
  </si>
  <si>
    <t>диск</t>
  </si>
  <si>
    <t>хомут</t>
  </si>
  <si>
    <t>Болгарка</t>
  </si>
  <si>
    <t>лампа</t>
  </si>
  <si>
    <t>бита</t>
  </si>
  <si>
    <t>замок</t>
  </si>
  <si>
    <t>упоры</t>
  </si>
  <si>
    <t>пропуска</t>
  </si>
  <si>
    <t>газета объявл.</t>
  </si>
  <si>
    <t>ТСБ</t>
  </si>
  <si>
    <t>ТО Трактор</t>
  </si>
  <si>
    <t>Настройка клапанов управления</t>
  </si>
  <si>
    <t>Аренда экскаватора</t>
  </si>
  <si>
    <t>Докум. На лестницу</t>
  </si>
  <si>
    <t>телеинспекция канализации</t>
  </si>
  <si>
    <t>штраф</t>
  </si>
  <si>
    <t>подшипник</t>
  </si>
  <si>
    <t>клеммы</t>
  </si>
  <si>
    <t>счетчик</t>
  </si>
  <si>
    <t>евровилка</t>
  </si>
  <si>
    <t>Эндоскоп</t>
  </si>
  <si>
    <t>Кабель для эндоскопической системы</t>
  </si>
  <si>
    <t>Беспроводной передатчик для инспекции труб</t>
  </si>
  <si>
    <t xml:space="preserve">силовой удлинитель </t>
  </si>
  <si>
    <t>пакет большой</t>
  </si>
  <si>
    <t>Гидропломба</t>
  </si>
  <si>
    <t>Прокладка резиновая</t>
  </si>
  <si>
    <t>Фланец</t>
  </si>
  <si>
    <t>Разъем для камеры</t>
  </si>
  <si>
    <t>Скотч</t>
  </si>
  <si>
    <t>цепь пильная</t>
  </si>
  <si>
    <t>термоусад. Клей</t>
  </si>
  <si>
    <t>поплавковый выкл. Для насоса</t>
  </si>
  <si>
    <t>Клемник</t>
  </si>
  <si>
    <t>Солидолонагнетатель</t>
  </si>
  <si>
    <t>Манометр</t>
  </si>
  <si>
    <t>Кран шаровой</t>
  </si>
  <si>
    <t>фильтр топливный</t>
  </si>
  <si>
    <t>Изготовление лестницы</t>
  </si>
  <si>
    <t>Экспертиза лестницы</t>
  </si>
  <si>
    <t>картридж</t>
  </si>
  <si>
    <t>Датчик давления воды</t>
  </si>
  <si>
    <t>штуцер</t>
  </si>
  <si>
    <t>тройник</t>
  </si>
  <si>
    <t>труба</t>
  </si>
  <si>
    <t>шланг</t>
  </si>
  <si>
    <t>поплавковый выключатель</t>
  </si>
  <si>
    <t>набор термоусад. Трубок</t>
  </si>
  <si>
    <t>гильза соед.</t>
  </si>
  <si>
    <t>батарейка</t>
  </si>
  <si>
    <t>хомуты</t>
  </si>
  <si>
    <t>лампа светод.</t>
  </si>
  <si>
    <t>бита,замок</t>
  </si>
  <si>
    <t>упоры противооткатные</t>
  </si>
  <si>
    <t>Болт шестигранный</t>
  </si>
  <si>
    <t>шланг поливочный,хомут</t>
  </si>
  <si>
    <t>гидропломба</t>
  </si>
  <si>
    <t>фонарь прожектор</t>
  </si>
  <si>
    <t>насос фекальный</t>
  </si>
  <si>
    <t>патрубок для дренаж. Нас.</t>
  </si>
  <si>
    <t>футорка</t>
  </si>
  <si>
    <t>пленка</t>
  </si>
  <si>
    <t>масло</t>
  </si>
  <si>
    <t>мойка трактора</t>
  </si>
  <si>
    <t>Исполнение финансового плана ТСН "КП "Согласие" за ноябрь 2024 - апрель 2025</t>
  </si>
  <si>
    <t>Арбитражный суд</t>
  </si>
  <si>
    <t>флаги</t>
  </si>
  <si>
    <t>ремонт унитаза</t>
  </si>
  <si>
    <t>Демонтаж блока</t>
  </si>
  <si>
    <t>масло для компрессора</t>
  </si>
  <si>
    <t>переходник</t>
  </si>
  <si>
    <t>осушитель</t>
  </si>
  <si>
    <t>диск пильный</t>
  </si>
  <si>
    <t>Замок навесной</t>
  </si>
  <si>
    <t>кольцо проставочное</t>
  </si>
  <si>
    <t>щетка дорожная</t>
  </si>
  <si>
    <t>Дерен</t>
  </si>
  <si>
    <t>подводка</t>
  </si>
  <si>
    <t>пена монтажная</t>
  </si>
  <si>
    <t>файл бюрократ</t>
  </si>
  <si>
    <t>пескобетон,сетка сварная</t>
  </si>
  <si>
    <t>портландцемент</t>
  </si>
  <si>
    <t>картридер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</si>
</sst>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10"/>
      <name val="Arial Cyr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164" fontId="10" fillId="0" borderId="0" applyFont="0" applyFill="0" applyBorder="0" applyProtection="0"/>
  </cellStyleXfs>
  <cellXfs count="452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1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7" fillId="0" borderId="6" xfId="0" applyFont="1" applyBorder="1"/>
    <xf numFmtId="0" fontId="17" fillId="0" borderId="7" xfId="0" applyFont="1" applyBorder="1"/>
    <xf numFmtId="3" fontId="15" fillId="4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3" fontId="17" fillId="2" borderId="8" xfId="0" applyNumberFormat="1" applyFont="1" applyFill="1" applyBorder="1"/>
    <xf numFmtId="3" fontId="17" fillId="2" borderId="8" xfId="0" applyNumberFormat="1" applyFont="1" applyFill="1" applyBorder="1" applyAlignment="1">
      <alignment horizontal="center"/>
    </xf>
    <xf numFmtId="3" fontId="17" fillId="2" borderId="8" xfId="0" applyNumberFormat="1" applyFont="1" applyFill="1" applyBorder="1" applyAlignment="1">
      <alignment horizontal="center" vertical="center"/>
    </xf>
    <xf numFmtId="3" fontId="17" fillId="6" borderId="8" xfId="0" applyNumberFormat="1" applyFont="1" applyFill="1" applyBorder="1" applyAlignment="1">
      <alignment horizontal="center" vertical="center"/>
    </xf>
    <xf numFmtId="3" fontId="17" fillId="0" borderId="8" xfId="0" applyNumberFormat="1" applyFont="1" applyBorder="1"/>
    <xf numFmtId="3" fontId="18" fillId="3" borderId="8" xfId="0" applyNumberFormat="1" applyFont="1" applyFill="1" applyBorder="1"/>
    <xf numFmtId="3" fontId="15" fillId="0" borderId="8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7" borderId="8" xfId="0" applyNumberFormat="1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7" fillId="0" borderId="8" xfId="0" applyFont="1" applyBorder="1" applyAlignment="1">
      <alignment horizontal="center" vertical="center"/>
    </xf>
    <xf numFmtId="0" fontId="18" fillId="3" borderId="8" xfId="0" applyFont="1" applyFill="1" applyBorder="1"/>
    <xf numFmtId="0" fontId="15" fillId="7" borderId="9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" fontId="15" fillId="5" borderId="8" xfId="0" applyNumberFormat="1" applyFont="1" applyFill="1" applyBorder="1" applyAlignment="1">
      <alignment horizontal="center"/>
    </xf>
    <xf numFmtId="3" fontId="17" fillId="0" borderId="8" xfId="0" applyNumberFormat="1" applyFont="1" applyBorder="1" applyAlignment="1">
      <alignment horizontal="center"/>
    </xf>
    <xf numFmtId="3" fontId="17" fillId="0" borderId="8" xfId="0" applyNumberFormat="1" applyFont="1" applyBorder="1" applyAlignment="1">
      <alignment horizontal="center" vertical="center"/>
    </xf>
    <xf numFmtId="0" fontId="15" fillId="7" borderId="8" xfId="0" applyFont="1" applyFill="1" applyBorder="1" applyAlignment="1">
      <alignment horizontal="center"/>
    </xf>
    <xf numFmtId="0" fontId="17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17" fillId="0" borderId="10" xfId="0" applyFont="1" applyBorder="1" applyAlignment="1">
      <alignment horizontal="center"/>
    </xf>
    <xf numFmtId="3" fontId="17" fillId="2" borderId="10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0" xfId="0" applyFont="1" applyFill="1" applyBorder="1"/>
    <xf numFmtId="0" fontId="17" fillId="2" borderId="10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3" fontId="17" fillId="0" borderId="10" xfId="0" applyNumberFormat="1" applyFont="1" applyBorder="1"/>
    <xf numFmtId="0" fontId="18" fillId="3" borderId="10" xfId="0" applyFont="1" applyFill="1" applyBorder="1"/>
    <xf numFmtId="3" fontId="15" fillId="0" borderId="10" xfId="0" applyNumberFormat="1" applyFont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3" fontId="15" fillId="7" borderId="10" xfId="0" applyNumberFormat="1" applyFont="1" applyFill="1" applyBorder="1" applyAlignment="1">
      <alignment horizontal="center"/>
    </xf>
    <xf numFmtId="3" fontId="15" fillId="4" borderId="5" xfId="0" applyNumberFormat="1" applyFont="1" applyFill="1" applyBorder="1" applyAlignment="1">
      <alignment horizontal="center"/>
    </xf>
    <xf numFmtId="3" fontId="15" fillId="5" borderId="5" xfId="0" applyNumberFormat="1" applyFont="1" applyFill="1" applyBorder="1" applyAlignment="1">
      <alignment horizontal="center"/>
    </xf>
    <xf numFmtId="3" fontId="15" fillId="0" borderId="5" xfId="0" applyNumberFormat="1" applyFont="1" applyBorder="1"/>
    <xf numFmtId="3" fontId="15" fillId="2" borderId="5" xfId="0" applyNumberFormat="1" applyFont="1" applyFill="1" applyBorder="1" applyAlignment="1">
      <alignment horizontal="center"/>
    </xf>
    <xf numFmtId="3" fontId="17" fillId="0" borderId="5" xfId="0" applyNumberFormat="1" applyFont="1" applyBorder="1"/>
    <xf numFmtId="3" fontId="18" fillId="3" borderId="5" xfId="0" applyNumberFormat="1" applyFont="1" applyFill="1" applyBorder="1"/>
    <xf numFmtId="3" fontId="15" fillId="0" borderId="5" xfId="0" applyNumberFormat="1" applyFont="1" applyBorder="1" applyAlignment="1">
      <alignment horizontal="center"/>
    </xf>
    <xf numFmtId="3" fontId="15" fillId="7" borderId="5" xfId="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 vertical="center"/>
    </xf>
    <xf numFmtId="0" fontId="19" fillId="3" borderId="7" xfId="0" applyFont="1" applyFill="1" applyBorder="1"/>
    <xf numFmtId="0" fontId="15" fillId="0" borderId="8" xfId="0" applyFont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7" fillId="9" borderId="8" xfId="0" applyNumberFormat="1" applyFont="1" applyFill="1" applyBorder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0" fontId="17" fillId="0" borderId="5" xfId="0" applyFont="1" applyBorder="1"/>
    <xf numFmtId="3" fontId="17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5" fillId="4" borderId="10" xfId="0" applyNumberFormat="1" applyFont="1" applyFill="1" applyBorder="1" applyAlignment="1">
      <alignment horizontal="center"/>
    </xf>
    <xf numFmtId="3" fontId="15" fillId="5" borderId="10" xfId="0" applyNumberFormat="1" applyFont="1" applyFill="1" applyBorder="1" applyAlignment="1">
      <alignment horizontal="center"/>
    </xf>
    <xf numFmtId="3" fontId="17" fillId="9" borderId="10" xfId="0" applyNumberFormat="1" applyFont="1" applyFill="1" applyBorder="1" applyAlignment="1">
      <alignment horizontal="center"/>
    </xf>
    <xf numFmtId="3" fontId="18" fillId="3" borderId="10" xfId="0" applyNumberFormat="1" applyFont="1" applyFill="1" applyBorder="1"/>
    <xf numFmtId="3" fontId="15" fillId="8" borderId="10" xfId="0" applyNumberFormat="1" applyFont="1" applyFill="1" applyBorder="1" applyAlignment="1">
      <alignment horizontal="center"/>
    </xf>
    <xf numFmtId="0" fontId="11" fillId="0" borderId="0" xfId="0" applyFont="1"/>
    <xf numFmtId="3" fontId="15" fillId="9" borderId="5" xfId="0" applyNumberFormat="1" applyFont="1" applyFill="1" applyBorder="1" applyAlignment="1">
      <alignment horizontal="center"/>
    </xf>
    <xf numFmtId="3" fontId="15" fillId="9" borderId="5" xfId="0" applyNumberFormat="1" applyFont="1" applyFill="1" applyBorder="1"/>
    <xf numFmtId="3" fontId="15" fillId="10" borderId="5" xfId="0" applyNumberFormat="1" applyFont="1" applyFill="1" applyBorder="1" applyAlignment="1">
      <alignment horizontal="center" vertical="center"/>
    </xf>
    <xf numFmtId="3" fontId="15" fillId="8" borderId="15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11" borderId="16" xfId="0" applyFont="1" applyFill="1" applyBorder="1"/>
    <xf numFmtId="0" fontId="21" fillId="11" borderId="17" xfId="0" applyFont="1" applyFill="1" applyBorder="1" applyAlignment="1">
      <alignment horizontal="center"/>
    </xf>
    <xf numFmtId="0" fontId="21" fillId="0" borderId="0" xfId="0" applyFont="1"/>
    <xf numFmtId="0" fontId="0" fillId="0" borderId="0" xfId="0" applyAlignment="1">
      <alignment wrapText="1"/>
    </xf>
    <xf numFmtId="165" fontId="0" fillId="0" borderId="0" xfId="2" applyNumberFormat="1" applyFont="1" applyAlignment="1">
      <alignment horizontal="center"/>
    </xf>
    <xf numFmtId="165" fontId="0" fillId="0" borderId="0" xfId="2" applyNumberFormat="1" applyFont="1"/>
    <xf numFmtId="0" fontId="11" fillId="0" borderId="16" xfId="0" applyFont="1" applyBorder="1"/>
    <xf numFmtId="0" fontId="11" fillId="0" borderId="7" xfId="0" applyFont="1" applyBorder="1"/>
    <xf numFmtId="0" fontId="0" fillId="0" borderId="16" xfId="0" applyBorder="1"/>
    <xf numFmtId="0" fontId="27" fillId="0" borderId="16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5" xfId="0" applyFont="1" applyBorder="1"/>
    <xf numFmtId="0" fontId="28" fillId="0" borderId="5" xfId="0" applyFont="1" applyBorder="1" applyAlignment="1">
      <alignment horizontal="center"/>
    </xf>
    <xf numFmtId="0" fontId="0" fillId="3" borderId="5" xfId="0" applyFill="1" applyBorder="1"/>
    <xf numFmtId="3" fontId="11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4" fillId="3" borderId="8" xfId="0" applyNumberFormat="1" applyFont="1" applyFill="1" applyBorder="1"/>
    <xf numFmtId="3" fontId="11" fillId="0" borderId="8" xfId="0" applyNumberFormat="1" applyFont="1" applyBorder="1"/>
    <xf numFmtId="3" fontId="11" fillId="0" borderId="0" xfId="0" applyNumberFormat="1" applyFont="1"/>
    <xf numFmtId="0" fontId="0" fillId="0" borderId="8" xfId="0" applyBorder="1"/>
    <xf numFmtId="0" fontId="24" fillId="3" borderId="8" xfId="0" applyFont="1" applyFill="1" applyBorder="1"/>
    <xf numFmtId="3" fontId="26" fillId="0" borderId="8" xfId="0" applyNumberFormat="1" applyFont="1" applyBorder="1"/>
    <xf numFmtId="0" fontId="15" fillId="0" borderId="0" xfId="0" applyFont="1"/>
    <xf numFmtId="3" fontId="15" fillId="0" borderId="8" xfId="0" applyNumberFormat="1" applyFont="1" applyBorder="1"/>
    <xf numFmtId="3" fontId="15" fillId="10" borderId="8" xfId="0" applyNumberFormat="1" applyFont="1" applyFill="1" applyBorder="1"/>
    <xf numFmtId="0" fontId="26" fillId="3" borderId="7" xfId="0" applyFont="1" applyFill="1" applyBorder="1"/>
    <xf numFmtId="0" fontId="29" fillId="3" borderId="8" xfId="0" applyFont="1" applyFill="1" applyBorder="1"/>
    <xf numFmtId="3" fontId="11" fillId="2" borderId="8" xfId="0" applyNumberFormat="1" applyFont="1" applyFill="1" applyBorder="1"/>
    <xf numFmtId="3" fontId="0" fillId="2" borderId="8" xfId="0" applyNumberFormat="1" applyFill="1" applyBorder="1"/>
    <xf numFmtId="3" fontId="11" fillId="3" borderId="8" xfId="0" applyNumberFormat="1" applyFont="1" applyFill="1" applyBorder="1"/>
    <xf numFmtId="3" fontId="30" fillId="3" borderId="8" xfId="0" applyNumberFormat="1" applyFont="1" applyFill="1" applyBorder="1"/>
    <xf numFmtId="3" fontId="11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4" fillId="3" borderId="5" xfId="0" applyNumberFormat="1" applyFont="1" applyFill="1" applyBorder="1"/>
    <xf numFmtId="3" fontId="30" fillId="3" borderId="5" xfId="0" applyNumberFormat="1" applyFont="1" applyFill="1" applyBorder="1"/>
    <xf numFmtId="3" fontId="0" fillId="13" borderId="8" xfId="0" applyNumberFormat="1" applyFill="1" applyBorder="1"/>
    <xf numFmtId="0" fontId="11" fillId="0" borderId="6" xfId="0" applyFont="1" applyBorder="1"/>
    <xf numFmtId="3" fontId="15" fillId="2" borderId="8" xfId="0" applyNumberFormat="1" applyFont="1" applyFill="1" applyBorder="1"/>
    <xf numFmtId="0" fontId="30" fillId="0" borderId="0" xfId="0" applyFont="1"/>
    <xf numFmtId="0" fontId="31" fillId="0" borderId="1" xfId="1" applyFont="1" applyBorder="1" applyAlignment="1">
      <alignment wrapText="1"/>
    </xf>
    <xf numFmtId="0" fontId="9" fillId="0" borderId="1" xfId="1" applyBorder="1" applyAlignment="1">
      <alignment horizontal="center"/>
    </xf>
    <xf numFmtId="0" fontId="31" fillId="0" borderId="1" xfId="1" applyFont="1" applyBorder="1" applyAlignment="1">
      <alignment horizontal="center"/>
    </xf>
    <xf numFmtId="165" fontId="9" fillId="0" borderId="0" xfId="2" applyNumberFormat="1" applyFont="1" applyAlignment="1">
      <alignment horizontal="center"/>
    </xf>
    <xf numFmtId="0" fontId="9" fillId="0" borderId="0" xfId="1" applyAlignment="1">
      <alignment wrapText="1"/>
    </xf>
    <xf numFmtId="0" fontId="9" fillId="0" borderId="3" xfId="1" applyBorder="1" applyAlignment="1">
      <alignment horizontal="center"/>
    </xf>
    <xf numFmtId="0" fontId="9" fillId="0" borderId="0" xfId="1" applyAlignment="1">
      <alignment horizontal="center"/>
    </xf>
    <xf numFmtId="0" fontId="9" fillId="0" borderId="17" xfId="1" applyBorder="1" applyAlignment="1">
      <alignment horizontal="center"/>
    </xf>
    <xf numFmtId="165" fontId="9" fillId="0" borderId="3" xfId="2" applyNumberFormat="1" applyFont="1" applyBorder="1" applyAlignment="1">
      <alignment horizontal="center"/>
    </xf>
    <xf numFmtId="0" fontId="9" fillId="0" borderId="1" xfId="1" applyBorder="1" applyAlignment="1">
      <alignment wrapText="1"/>
    </xf>
    <xf numFmtId="0" fontId="9" fillId="0" borderId="5" xfId="1" applyBorder="1" applyAlignment="1">
      <alignment horizontal="center"/>
    </xf>
    <xf numFmtId="0" fontId="9" fillId="0" borderId="14" xfId="1" applyBorder="1" applyAlignment="1">
      <alignment horizontal="center"/>
    </xf>
    <xf numFmtId="165" fontId="9" fillId="0" borderId="5" xfId="2" applyNumberFormat="1" applyFont="1" applyBorder="1" applyAlignment="1">
      <alignment horizontal="center"/>
    </xf>
    <xf numFmtId="0" fontId="9" fillId="13" borderId="7" xfId="1" applyFill="1" applyBorder="1" applyAlignment="1">
      <alignment wrapText="1"/>
    </xf>
    <xf numFmtId="0" fontId="9" fillId="0" borderId="8" xfId="1" applyBorder="1" applyAlignment="1">
      <alignment horizontal="center"/>
    </xf>
    <xf numFmtId="0" fontId="9" fillId="0" borderId="7" xfId="1" applyBorder="1" applyAlignment="1">
      <alignment wrapText="1"/>
    </xf>
    <xf numFmtId="2" fontId="9" fillId="0" borderId="1" xfId="1" applyNumberFormat="1" applyBorder="1" applyAlignment="1">
      <alignment wrapText="1"/>
    </xf>
    <xf numFmtId="2" fontId="9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8" xfId="1" applyBorder="1"/>
    <xf numFmtId="3" fontId="31" fillId="8" borderId="5" xfId="1" applyNumberFormat="1" applyFont="1" applyFill="1" applyBorder="1" applyAlignment="1">
      <alignment horizontal="center"/>
    </xf>
    <xf numFmtId="165" fontId="31" fillId="8" borderId="5" xfId="2" applyNumberFormat="1" applyFont="1" applyFill="1" applyBorder="1" applyAlignment="1">
      <alignment horizontal="center"/>
    </xf>
    <xf numFmtId="0" fontId="31" fillId="0" borderId="1" xfId="1" applyFont="1" applyBorder="1"/>
    <xf numFmtId="0" fontId="9" fillId="0" borderId="0" xfId="1"/>
    <xf numFmtId="0" fontId="9" fillId="0" borderId="8" xfId="1" applyBorder="1" applyAlignment="1">
      <alignment vertical="center"/>
    </xf>
    <xf numFmtId="0" fontId="31" fillId="0" borderId="8" xfId="1" applyFont="1" applyBorder="1"/>
    <xf numFmtId="3" fontId="31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9" fillId="0" borderId="1" xfId="1" applyBorder="1"/>
    <xf numFmtId="0" fontId="31" fillId="0" borderId="8" xfId="1" applyFont="1" applyBorder="1" applyAlignment="1">
      <alignment horizontal="left"/>
    </xf>
    <xf numFmtId="0" fontId="31" fillId="0" borderId="3" xfId="1" applyFont="1" applyBorder="1" applyAlignment="1">
      <alignment horizontal="center"/>
    </xf>
    <xf numFmtId="0" fontId="9" fillId="0" borderId="7" xfId="1" applyBorder="1" applyAlignment="1">
      <alignment horizontal="left" vertical="center" wrapText="1"/>
    </xf>
    <xf numFmtId="0" fontId="9" fillId="0" borderId="7" xfId="1" applyBorder="1"/>
    <xf numFmtId="3" fontId="31" fillId="8" borderId="5" xfId="1" applyNumberFormat="1" applyFont="1" applyFill="1" applyBorder="1"/>
    <xf numFmtId="0" fontId="17" fillId="0" borderId="0" xfId="0" applyFont="1"/>
    <xf numFmtId="0" fontId="33" fillId="0" borderId="0" xfId="0" applyFont="1" applyAlignment="1">
      <alignment wrapText="1"/>
    </xf>
    <xf numFmtId="0" fontId="9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9" fillId="0" borderId="3" xfId="1" applyBorder="1"/>
    <xf numFmtId="0" fontId="9" fillId="0" borderId="17" xfId="1" applyBorder="1"/>
    <xf numFmtId="0" fontId="9" fillId="0" borderId="8" xfId="1" applyBorder="1" applyAlignment="1">
      <alignment horizontal="left"/>
    </xf>
    <xf numFmtId="0" fontId="9" fillId="0" borderId="17" xfId="1" applyBorder="1" applyAlignment="1">
      <alignment wrapText="1"/>
    </xf>
    <xf numFmtId="0" fontId="9" fillId="0" borderId="8" xfId="1" applyBorder="1" applyAlignment="1">
      <alignment wrapText="1"/>
    </xf>
    <xf numFmtId="0" fontId="9" fillId="0" borderId="2" xfId="1" applyBorder="1"/>
    <xf numFmtId="165" fontId="9" fillId="0" borderId="8" xfId="2" applyNumberFormat="1" applyFont="1" applyBorder="1"/>
    <xf numFmtId="165" fontId="9" fillId="0" borderId="13" xfId="2" applyNumberFormat="1" applyFont="1" applyBorder="1"/>
    <xf numFmtId="165" fontId="9" fillId="0" borderId="5" xfId="2" applyNumberFormat="1" applyFont="1" applyBorder="1"/>
    <xf numFmtId="165" fontId="0" fillId="0" borderId="8" xfId="2" applyNumberFormat="1" applyFont="1" applyBorder="1"/>
    <xf numFmtId="165" fontId="9" fillId="0" borderId="14" xfId="2" applyNumberFormat="1" applyFont="1" applyBorder="1"/>
    <xf numFmtId="165" fontId="9" fillId="0" borderId="0" xfId="2" applyNumberFormat="1" applyFont="1"/>
    <xf numFmtId="165" fontId="9" fillId="0" borderId="3" xfId="2" applyNumberFormat="1" applyFont="1" applyBorder="1"/>
    <xf numFmtId="165" fontId="31" fillId="8" borderId="5" xfId="2" applyNumberFormat="1" applyFont="1" applyFill="1" applyBorder="1"/>
    <xf numFmtId="164" fontId="9" fillId="0" borderId="8" xfId="2" applyFont="1" applyBorder="1"/>
    <xf numFmtId="165" fontId="9" fillId="0" borderId="1" xfId="2" applyNumberFormat="1" applyFont="1" applyBorder="1"/>
    <xf numFmtId="165" fontId="31" fillId="0" borderId="1" xfId="2" applyNumberFormat="1" applyFont="1" applyBorder="1"/>
    <xf numFmtId="165" fontId="9" fillId="0" borderId="17" xfId="2" applyNumberFormat="1" applyFont="1" applyBorder="1"/>
    <xf numFmtId="165" fontId="9" fillId="0" borderId="8" xfId="2" applyNumberFormat="1" applyFont="1" applyFill="1" applyBorder="1"/>
    <xf numFmtId="165" fontId="9" fillId="0" borderId="5" xfId="2" applyNumberFormat="1" applyFont="1" applyFill="1" applyBorder="1"/>
    <xf numFmtId="164" fontId="9" fillId="0" borderId="5" xfId="2" applyFont="1" applyBorder="1"/>
    <xf numFmtId="164" fontId="9" fillId="0" borderId="14" xfId="2" applyFont="1" applyBorder="1"/>
    <xf numFmtId="164" fontId="9" fillId="0" borderId="13" xfId="2" applyFont="1" applyBorder="1"/>
    <xf numFmtId="164" fontId="31" fillId="8" borderId="5" xfId="2" applyFont="1" applyFill="1" applyBorder="1"/>
    <xf numFmtId="164" fontId="31" fillId="0" borderId="5" xfId="2" applyFont="1" applyBorder="1"/>
    <xf numFmtId="165" fontId="32" fillId="0" borderId="8" xfId="2" applyNumberFormat="1" applyFont="1" applyBorder="1"/>
    <xf numFmtId="165" fontId="34" fillId="0" borderId="0" xfId="2" applyNumberFormat="1" applyFont="1" applyAlignment="1">
      <alignment horizontal="center"/>
    </xf>
    <xf numFmtId="164" fontId="9" fillId="0" borderId="0" xfId="2" applyFont="1"/>
    <xf numFmtId="164" fontId="9" fillId="0" borderId="3" xfId="2" applyFont="1" applyBorder="1"/>
    <xf numFmtId="164" fontId="0" fillId="0" borderId="0" xfId="2" applyFont="1"/>
    <xf numFmtId="0" fontId="8" fillId="0" borderId="8" xfId="0" applyFont="1" applyBorder="1"/>
    <xf numFmtId="0" fontId="34" fillId="0" borderId="0" xfId="0" applyFont="1"/>
    <xf numFmtId="165" fontId="34" fillId="0" borderId="0" xfId="2" applyNumberFormat="1" applyFont="1"/>
    <xf numFmtId="0" fontId="38" fillId="0" borderId="0" xfId="0" applyFont="1"/>
    <xf numFmtId="165" fontId="39" fillId="0" borderId="0" xfId="2" applyNumberFormat="1" applyFont="1" applyAlignment="1">
      <alignment horizontal="center"/>
    </xf>
    <xf numFmtId="0" fontId="40" fillId="0" borderId="0" xfId="0" applyFont="1"/>
    <xf numFmtId="165" fontId="41" fillId="0" borderId="0" xfId="2" applyNumberFormat="1" applyFont="1" applyAlignment="1">
      <alignment horizontal="center"/>
    </xf>
    <xf numFmtId="0" fontId="42" fillId="0" borderId="0" xfId="0" applyFont="1" applyAlignment="1">
      <alignment wrapText="1"/>
    </xf>
    <xf numFmtId="0" fontId="42" fillId="0" borderId="0" xfId="0" applyFont="1"/>
    <xf numFmtId="0" fontId="43" fillId="0" borderId="0" xfId="0" applyFont="1" applyAlignment="1">
      <alignment wrapText="1"/>
    </xf>
    <xf numFmtId="165" fontId="43" fillId="0" borderId="0" xfId="2" applyNumberFormat="1" applyFont="1" applyFill="1" applyBorder="1" applyAlignment="1">
      <alignment horizontal="center"/>
    </xf>
    <xf numFmtId="165" fontId="36" fillId="0" borderId="0" xfId="2" applyNumberFormat="1" applyFont="1"/>
    <xf numFmtId="0" fontId="36" fillId="0" borderId="0" xfId="0" applyFont="1"/>
    <xf numFmtId="0" fontId="44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165" fontId="36" fillId="0" borderId="0" xfId="2" applyNumberFormat="1" applyFont="1" applyAlignment="1">
      <alignment horizontal="center"/>
    </xf>
    <xf numFmtId="0" fontId="45" fillId="2" borderId="2" xfId="0" applyFont="1" applyFill="1" applyBorder="1" applyAlignment="1">
      <alignment wrapText="1"/>
    </xf>
    <xf numFmtId="0" fontId="36" fillId="0" borderId="4" xfId="0" applyFont="1" applyBorder="1" applyAlignment="1">
      <alignment wrapText="1"/>
    </xf>
    <xf numFmtId="0" fontId="47" fillId="0" borderId="2" xfId="0" applyFont="1" applyBorder="1" applyAlignment="1">
      <alignment wrapText="1"/>
    </xf>
    <xf numFmtId="165" fontId="43" fillId="4" borderId="8" xfId="2" applyNumberFormat="1" applyFont="1" applyFill="1" applyBorder="1" applyAlignment="1">
      <alignment horizontal="center"/>
    </xf>
    <xf numFmtId="165" fontId="36" fillId="0" borderId="5" xfId="2" applyNumberFormat="1" applyFont="1" applyBorder="1" applyAlignment="1">
      <alignment horizontal="center" vertical="center" wrapText="1"/>
    </xf>
    <xf numFmtId="165" fontId="48" fillId="0" borderId="5" xfId="2" applyNumberFormat="1" applyFont="1" applyBorder="1" applyAlignment="1">
      <alignment horizontal="center" vertical="center"/>
    </xf>
    <xf numFmtId="165" fontId="46" fillId="0" borderId="4" xfId="2" applyNumberFormat="1" applyFont="1" applyBorder="1" applyAlignment="1">
      <alignment horizontal="center" vertical="center" wrapText="1"/>
    </xf>
    <xf numFmtId="165" fontId="43" fillId="5" borderId="8" xfId="2" applyNumberFormat="1" applyFont="1" applyFill="1" applyBorder="1" applyAlignment="1">
      <alignment horizontal="center"/>
    </xf>
    <xf numFmtId="165" fontId="47" fillId="2" borderId="8" xfId="2" applyNumberFormat="1" applyFont="1" applyFill="1" applyBorder="1" applyAlignment="1">
      <alignment horizontal="center"/>
    </xf>
    <xf numFmtId="165" fontId="47" fillId="2" borderId="8" xfId="2" applyNumberFormat="1" applyFont="1" applyFill="1" applyBorder="1" applyAlignment="1">
      <alignment horizontal="center" vertical="center"/>
    </xf>
    <xf numFmtId="165" fontId="39" fillId="2" borderId="8" xfId="2" applyNumberFormat="1" applyFont="1" applyFill="1" applyBorder="1" applyAlignment="1">
      <alignment horizontal="center"/>
    </xf>
    <xf numFmtId="165" fontId="43" fillId="0" borderId="8" xfId="2" applyNumberFormat="1" applyFont="1" applyBorder="1" applyAlignment="1">
      <alignment horizontal="center"/>
    </xf>
    <xf numFmtId="165" fontId="43" fillId="0" borderId="4" xfId="2" applyNumberFormat="1" applyFont="1" applyBorder="1" applyAlignment="1">
      <alignment horizontal="center"/>
    </xf>
    <xf numFmtId="165" fontId="43" fillId="7" borderId="8" xfId="2" applyNumberFormat="1" applyFont="1" applyFill="1" applyBorder="1" applyAlignment="1">
      <alignment horizontal="center"/>
    </xf>
    <xf numFmtId="165" fontId="43" fillId="4" borderId="3" xfId="2" applyNumberFormat="1" applyFont="1" applyFill="1" applyBorder="1" applyAlignment="1">
      <alignment horizontal="center"/>
    </xf>
    <xf numFmtId="165" fontId="43" fillId="5" borderId="3" xfId="2" applyNumberFormat="1" applyFont="1" applyFill="1" applyBorder="1" applyAlignment="1">
      <alignment horizontal="center"/>
    </xf>
    <xf numFmtId="165" fontId="43" fillId="0" borderId="21" xfId="2" applyNumberFormat="1" applyFont="1" applyBorder="1" applyAlignment="1">
      <alignment horizontal="center"/>
    </xf>
    <xf numFmtId="0" fontId="47" fillId="0" borderId="8" xfId="0" applyFont="1" applyBorder="1" applyAlignment="1">
      <alignment wrapText="1"/>
    </xf>
    <xf numFmtId="165" fontId="43" fillId="4" borderId="8" xfId="2" applyNumberFormat="1" applyFont="1" applyFill="1" applyBorder="1" applyAlignment="1">
      <alignment horizontal="center" vertical="center"/>
    </xf>
    <xf numFmtId="165" fontId="43" fillId="5" borderId="8" xfId="2" applyNumberFormat="1" applyFont="1" applyFill="1" applyBorder="1" applyAlignment="1">
      <alignment vertical="center"/>
    </xf>
    <xf numFmtId="165" fontId="47" fillId="0" borderId="8" xfId="2" applyNumberFormat="1" applyFont="1" applyBorder="1" applyAlignment="1">
      <alignment horizontal="center" vertical="center"/>
    </xf>
    <xf numFmtId="165" fontId="39" fillId="0" borderId="8" xfId="2" applyNumberFormat="1" applyFont="1" applyBorder="1" applyAlignment="1">
      <alignment vertical="center"/>
    </xf>
    <xf numFmtId="165" fontId="43" fillId="0" borderId="8" xfId="2" applyNumberFormat="1" applyFont="1" applyBorder="1" applyAlignment="1">
      <alignment horizontal="center" vertical="center"/>
    </xf>
    <xf numFmtId="165" fontId="43" fillId="0" borderId="8" xfId="2" applyNumberFormat="1" applyFont="1" applyBorder="1" applyAlignment="1">
      <alignment vertical="center"/>
    </xf>
    <xf numFmtId="0" fontId="37" fillId="0" borderId="8" xfId="1" applyFont="1" applyBorder="1"/>
    <xf numFmtId="165" fontId="36" fillId="0" borderId="8" xfId="2" applyNumberFormat="1" applyFont="1" applyBorder="1" applyAlignment="1">
      <alignment horizontal="center"/>
    </xf>
    <xf numFmtId="164" fontId="37" fillId="0" borderId="8" xfId="2" applyFont="1" applyBorder="1"/>
    <xf numFmtId="0" fontId="37" fillId="16" borderId="12" xfId="1" applyFont="1" applyFill="1" applyBorder="1"/>
    <xf numFmtId="165" fontId="36" fillId="16" borderId="10" xfId="2" applyNumberFormat="1" applyFont="1" applyFill="1" applyBorder="1" applyAlignment="1">
      <alignment horizontal="center"/>
    </xf>
    <xf numFmtId="165" fontId="37" fillId="16" borderId="5" xfId="2" applyNumberFormat="1" applyFont="1" applyFill="1" applyBorder="1"/>
    <xf numFmtId="165" fontId="43" fillId="0" borderId="5" xfId="2" applyNumberFormat="1" applyFont="1" applyBorder="1" applyAlignment="1">
      <alignment horizontal="center"/>
    </xf>
    <xf numFmtId="164" fontId="37" fillId="0" borderId="4" xfId="2" applyFont="1" applyBorder="1"/>
    <xf numFmtId="0" fontId="43" fillId="0" borderId="1" xfId="0" applyFont="1" applyBorder="1" applyAlignment="1">
      <alignment horizontal="left" wrapText="1"/>
    </xf>
    <xf numFmtId="165" fontId="43" fillId="4" borderId="5" xfId="2" applyNumberFormat="1" applyFont="1" applyFill="1" applyBorder="1" applyAlignment="1">
      <alignment horizontal="center"/>
    </xf>
    <xf numFmtId="165" fontId="43" fillId="5" borderId="5" xfId="2" applyNumberFormat="1" applyFont="1" applyFill="1" applyBorder="1" applyAlignment="1">
      <alignment horizontal="center"/>
    </xf>
    <xf numFmtId="165" fontId="43" fillId="2" borderId="15" xfId="2" applyNumberFormat="1" applyFont="1" applyFill="1" applyBorder="1" applyAlignment="1">
      <alignment horizontal="center"/>
    </xf>
    <xf numFmtId="165" fontId="43" fillId="0" borderId="15" xfId="2" applyNumberFormat="1" applyFont="1" applyBorder="1" applyAlignment="1">
      <alignment horizontal="center"/>
    </xf>
    <xf numFmtId="165" fontId="43" fillId="0" borderId="19" xfId="2" applyNumberFormat="1" applyFont="1" applyBorder="1" applyAlignment="1">
      <alignment horizontal="center"/>
    </xf>
    <xf numFmtId="165" fontId="43" fillId="7" borderId="15" xfId="2" applyNumberFormat="1" applyFont="1" applyFill="1" applyBorder="1" applyAlignment="1">
      <alignment horizontal="center"/>
    </xf>
    <xf numFmtId="3" fontId="36" fillId="0" borderId="0" xfId="0" applyNumberFormat="1" applyFont="1"/>
    <xf numFmtId="165" fontId="43" fillId="0" borderId="0" xfId="2" applyNumberFormat="1" applyFont="1" applyAlignment="1">
      <alignment horizontal="center"/>
    </xf>
    <xf numFmtId="0" fontId="45" fillId="9" borderId="8" xfId="0" applyFont="1" applyFill="1" applyBorder="1" applyAlignment="1">
      <alignment wrapText="1"/>
    </xf>
    <xf numFmtId="165" fontId="43" fillId="0" borderId="7" xfId="2" applyNumberFormat="1" applyFont="1" applyBorder="1" applyAlignment="1">
      <alignment horizontal="center"/>
    </xf>
    <xf numFmtId="165" fontId="43" fillId="0" borderId="1" xfId="2" applyNumberFormat="1" applyFont="1" applyBorder="1" applyAlignment="1">
      <alignment horizontal="center"/>
    </xf>
    <xf numFmtId="165" fontId="49" fillId="0" borderId="1" xfId="2" applyNumberFormat="1" applyFont="1" applyBorder="1" applyAlignment="1">
      <alignment horizontal="center"/>
    </xf>
    <xf numFmtId="165" fontId="43" fillId="8" borderId="8" xfId="2" applyNumberFormat="1" applyFont="1" applyFill="1" applyBorder="1" applyAlignment="1">
      <alignment horizontal="center" vertical="center" wrapText="1"/>
    </xf>
    <xf numFmtId="0" fontId="36" fillId="0" borderId="6" xfId="0" applyFont="1" applyBorder="1" applyAlignment="1">
      <alignment wrapText="1"/>
    </xf>
    <xf numFmtId="165" fontId="47" fillId="9" borderId="8" xfId="2" applyNumberFormat="1" applyFont="1" applyFill="1" applyBorder="1" applyAlignment="1">
      <alignment horizontal="center"/>
    </xf>
    <xf numFmtId="165" fontId="43" fillId="8" borderId="8" xfId="2" applyNumberFormat="1" applyFont="1" applyFill="1" applyBorder="1" applyAlignment="1">
      <alignment horizontal="center"/>
    </xf>
    <xf numFmtId="165" fontId="47" fillId="9" borderId="5" xfId="2" applyNumberFormat="1" applyFont="1" applyFill="1" applyBorder="1" applyAlignment="1">
      <alignment horizontal="center"/>
    </xf>
    <xf numFmtId="0" fontId="36" fillId="0" borderId="2" xfId="0" applyFont="1" applyBorder="1" applyAlignment="1">
      <alignment wrapText="1"/>
    </xf>
    <xf numFmtId="165" fontId="47" fillId="9" borderId="3" xfId="2" applyNumberFormat="1" applyFont="1" applyFill="1" applyBorder="1" applyAlignment="1">
      <alignment horizontal="center"/>
    </xf>
    <xf numFmtId="0" fontId="46" fillId="0" borderId="0" xfId="0" applyFont="1"/>
    <xf numFmtId="165" fontId="43" fillId="4" borderId="10" xfId="2" applyNumberFormat="1" applyFont="1" applyFill="1" applyBorder="1" applyAlignment="1">
      <alignment horizontal="center"/>
    </xf>
    <xf numFmtId="165" fontId="43" fillId="5" borderId="10" xfId="2" applyNumberFormat="1" applyFont="1" applyFill="1" applyBorder="1" applyAlignment="1">
      <alignment horizontal="center"/>
    </xf>
    <xf numFmtId="165" fontId="47" fillId="9" borderId="10" xfId="2" applyNumberFormat="1" applyFont="1" applyFill="1" applyBorder="1" applyAlignment="1">
      <alignment horizontal="center"/>
    </xf>
    <xf numFmtId="165" fontId="43" fillId="0" borderId="10" xfId="2" applyNumberFormat="1" applyFont="1" applyBorder="1" applyAlignment="1">
      <alignment horizontal="center"/>
    </xf>
    <xf numFmtId="165" fontId="36" fillId="0" borderId="0" xfId="2" applyNumberFormat="1" applyFont="1" applyBorder="1" applyAlignment="1">
      <alignment horizontal="center"/>
    </xf>
    <xf numFmtId="164" fontId="37" fillId="0" borderId="0" xfId="2" applyFont="1" applyBorder="1"/>
    <xf numFmtId="165" fontId="43" fillId="0" borderId="0" xfId="2" applyNumberFormat="1" applyFont="1" applyBorder="1" applyAlignment="1">
      <alignment horizontal="center"/>
    </xf>
    <xf numFmtId="0" fontId="37" fillId="0" borderId="0" xfId="1" applyFont="1"/>
    <xf numFmtId="165" fontId="42" fillId="17" borderId="0" xfId="2" applyNumberFormat="1" applyFont="1" applyFill="1" applyAlignment="1">
      <alignment horizontal="center"/>
    </xf>
    <xf numFmtId="165" fontId="42" fillId="17" borderId="0" xfId="2" applyNumberFormat="1" applyFont="1" applyFill="1"/>
    <xf numFmtId="165" fontId="42" fillId="18" borderId="0" xfId="2" applyNumberFormat="1" applyFont="1" applyFill="1" applyAlignment="1">
      <alignment horizontal="center"/>
    </xf>
    <xf numFmtId="0" fontId="36" fillId="0" borderId="0" xfId="0" applyFont="1" applyAlignment="1">
      <alignment wrapText="1"/>
    </xf>
    <xf numFmtId="165" fontId="35" fillId="0" borderId="0" xfId="2" applyNumberFormat="1" applyFont="1" applyFill="1" applyBorder="1" applyAlignment="1">
      <alignment horizontal="center"/>
    </xf>
    <xf numFmtId="0" fontId="50" fillId="0" borderId="0" xfId="1" applyFont="1" applyAlignment="1">
      <alignment vertical="center"/>
    </xf>
    <xf numFmtId="165" fontId="36" fillId="0" borderId="0" xfId="2" applyNumberFormat="1" applyFont="1" applyBorder="1" applyAlignment="1">
      <alignment horizontal="center" vertical="center"/>
    </xf>
    <xf numFmtId="165" fontId="51" fillId="0" borderId="0" xfId="2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165" fontId="43" fillId="17" borderId="5" xfId="2" applyNumberFormat="1" applyFont="1" applyFill="1" applyBorder="1" applyAlignment="1">
      <alignment horizontal="center"/>
    </xf>
    <xf numFmtId="0" fontId="43" fillId="0" borderId="0" xfId="0" applyFont="1" applyAlignment="1">
      <alignment horizontal="left" wrapText="1"/>
    </xf>
    <xf numFmtId="165" fontId="43" fillId="0" borderId="8" xfId="2" applyNumberFormat="1" applyFont="1" applyFill="1" applyBorder="1" applyAlignment="1">
      <alignment horizontal="center"/>
    </xf>
    <xf numFmtId="0" fontId="43" fillId="0" borderId="8" xfId="0" applyFont="1" applyBorder="1" applyAlignment="1">
      <alignment wrapText="1"/>
    </xf>
    <xf numFmtId="0" fontId="36" fillId="0" borderId="8" xfId="0" applyFont="1" applyBorder="1" applyAlignment="1">
      <alignment wrapText="1"/>
    </xf>
    <xf numFmtId="0" fontId="43" fillId="17" borderId="1" xfId="0" applyFont="1" applyFill="1" applyBorder="1" applyAlignment="1">
      <alignment horizontal="left" wrapText="1"/>
    </xf>
    <xf numFmtId="0" fontId="36" fillId="0" borderId="11" xfId="0" applyFont="1" applyBorder="1" applyAlignment="1">
      <alignment wrapText="1"/>
    </xf>
    <xf numFmtId="0" fontId="43" fillId="17" borderId="5" xfId="0" applyFont="1" applyFill="1" applyBorder="1" applyAlignment="1">
      <alignment horizontal="left" wrapText="1"/>
    </xf>
    <xf numFmtId="165" fontId="43" fillId="0" borderId="10" xfId="2" applyNumberFormat="1" applyFont="1" applyFill="1" applyBorder="1" applyAlignment="1">
      <alignment horizontal="center"/>
    </xf>
    <xf numFmtId="0" fontId="52" fillId="0" borderId="0" xfId="0" applyFont="1" applyAlignment="1">
      <alignment horizontal="right" wrapText="1"/>
    </xf>
    <xf numFmtId="165" fontId="52" fillId="0" borderId="0" xfId="2" applyNumberFormat="1" applyFont="1"/>
    <xf numFmtId="165" fontId="31" fillId="8" borderId="14" xfId="1" applyNumberFormat="1" applyFont="1" applyFill="1" applyBorder="1"/>
    <xf numFmtId="164" fontId="31" fillId="8" borderId="8" xfId="2" applyFont="1" applyFill="1" applyBorder="1"/>
    <xf numFmtId="165" fontId="53" fillId="0" borderId="1" xfId="2" applyNumberFormat="1" applyFont="1" applyBorder="1" applyAlignment="1">
      <alignment horizontal="center" vertical="center"/>
    </xf>
    <xf numFmtId="165" fontId="9" fillId="16" borderId="17" xfId="2" applyNumberFormat="1" applyFont="1" applyFill="1" applyBorder="1"/>
    <xf numFmtId="0" fontId="9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5" fontId="43" fillId="4" borderId="3" xfId="2" applyNumberFormat="1" applyFont="1" applyFill="1" applyBorder="1"/>
    <xf numFmtId="165" fontId="43" fillId="5" borderId="3" xfId="2" applyNumberFormat="1" applyFont="1" applyFill="1" applyBorder="1" applyAlignment="1">
      <alignment vertical="center"/>
    </xf>
    <xf numFmtId="165" fontId="43" fillId="0" borderId="3" xfId="2" applyNumberFormat="1" applyFont="1" applyBorder="1" applyAlignment="1">
      <alignment vertical="center"/>
    </xf>
    <xf numFmtId="165" fontId="46" fillId="0" borderId="8" xfId="2" applyNumberFormat="1" applyFont="1" applyBorder="1" applyAlignment="1">
      <alignment horizontal="center" vertical="center" wrapText="1"/>
    </xf>
    <xf numFmtId="165" fontId="46" fillId="0" borderId="8" xfId="2" applyNumberFormat="1" applyFont="1" applyBorder="1" applyAlignment="1">
      <alignment horizontal="center" vertical="center"/>
    </xf>
    <xf numFmtId="165" fontId="46" fillId="12" borderId="8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Border="1" applyAlignment="1">
      <alignment horizontal="center"/>
    </xf>
    <xf numFmtId="2" fontId="9" fillId="0" borderId="8" xfId="1" applyNumberFormat="1" applyBorder="1"/>
    <xf numFmtId="0" fontId="9" fillId="0" borderId="8" xfId="1" applyBorder="1" applyAlignment="1">
      <alignment horizontal="left" wrapText="1"/>
    </xf>
    <xf numFmtId="2" fontId="9" fillId="0" borderId="8" xfId="1" applyNumberFormat="1" applyBorder="1" applyAlignment="1">
      <alignment wrapText="1"/>
    </xf>
    <xf numFmtId="165" fontId="43" fillId="16" borderId="4" xfId="2" applyNumberFormat="1" applyFont="1" applyFill="1" applyBorder="1" applyAlignment="1">
      <alignment horizontal="center"/>
    </xf>
    <xf numFmtId="165" fontId="43" fillId="16" borderId="11" xfId="2" applyNumberFormat="1" applyFont="1" applyFill="1" applyBorder="1" applyAlignment="1">
      <alignment horizontal="center"/>
    </xf>
    <xf numFmtId="165" fontId="43" fillId="16" borderId="10" xfId="2" applyNumberFormat="1" applyFont="1" applyFill="1" applyBorder="1" applyAlignment="1">
      <alignment horizontal="center"/>
    </xf>
    <xf numFmtId="165" fontId="43" fillId="16" borderId="8" xfId="2" applyNumberFormat="1" applyFont="1" applyFill="1" applyBorder="1" applyAlignment="1">
      <alignment horizontal="center"/>
    </xf>
    <xf numFmtId="165" fontId="47" fillId="19" borderId="8" xfId="2" applyNumberFormat="1" applyFont="1" applyFill="1" applyBorder="1" applyAlignment="1">
      <alignment horizontal="center"/>
    </xf>
    <xf numFmtId="165" fontId="47" fillId="19" borderId="5" xfId="2" applyNumberFormat="1" applyFont="1" applyFill="1" applyBorder="1" applyAlignment="1">
      <alignment horizontal="center"/>
    </xf>
    <xf numFmtId="165" fontId="39" fillId="19" borderId="5" xfId="2" applyNumberFormat="1" applyFont="1" applyFill="1" applyBorder="1" applyAlignment="1">
      <alignment horizontal="center"/>
    </xf>
    <xf numFmtId="165" fontId="47" fillId="19" borderId="10" xfId="2" applyNumberFormat="1" applyFont="1" applyFill="1" applyBorder="1" applyAlignment="1">
      <alignment horizontal="center"/>
    </xf>
    <xf numFmtId="165" fontId="9" fillId="20" borderId="8" xfId="2" applyNumberFormat="1" applyFont="1" applyFill="1" applyBorder="1"/>
    <xf numFmtId="165" fontId="9" fillId="20" borderId="13" xfId="2" applyNumberFormat="1" applyFont="1" applyFill="1" applyBorder="1"/>
    <xf numFmtId="165" fontId="9" fillId="20" borderId="5" xfId="2" applyNumberFormat="1" applyFont="1" applyFill="1" applyBorder="1"/>
    <xf numFmtId="165" fontId="9" fillId="20" borderId="14" xfId="2" applyNumberFormat="1" applyFont="1" applyFill="1" applyBorder="1"/>
    <xf numFmtId="0" fontId="54" fillId="0" borderId="1" xfId="1" applyFont="1" applyBorder="1"/>
    <xf numFmtId="0" fontId="54" fillId="0" borderId="1" xfId="1" applyFont="1" applyBorder="1" applyAlignment="1">
      <alignment horizontal="center"/>
    </xf>
    <xf numFmtId="0" fontId="55" fillId="0" borderId="1" xfId="1" applyFont="1" applyBorder="1"/>
    <xf numFmtId="0" fontId="55" fillId="0" borderId="0" xfId="1" applyFont="1"/>
    <xf numFmtId="0" fontId="56" fillId="0" borderId="0" xfId="0" applyFont="1"/>
    <xf numFmtId="0" fontId="55" fillId="0" borderId="17" xfId="1" applyFont="1" applyBorder="1" applyAlignment="1">
      <alignment horizontal="center"/>
    </xf>
    <xf numFmtId="0" fontId="55" fillId="0" borderId="3" xfId="1" applyFont="1" applyBorder="1" applyAlignment="1">
      <alignment horizontal="center"/>
    </xf>
    <xf numFmtId="0" fontId="55" fillId="0" borderId="8" xfId="1" applyFont="1" applyBorder="1" applyAlignment="1">
      <alignment wrapText="1"/>
    </xf>
    <xf numFmtId="165" fontId="56" fillId="0" borderId="8" xfId="2" applyNumberFormat="1" applyFont="1" applyBorder="1"/>
    <xf numFmtId="165" fontId="55" fillId="0" borderId="8" xfId="2" applyNumberFormat="1" applyFont="1" applyBorder="1"/>
    <xf numFmtId="0" fontId="55" fillId="0" borderId="7" xfId="1" applyFont="1" applyBorder="1"/>
    <xf numFmtId="3" fontId="54" fillId="8" borderId="5" xfId="1" applyNumberFormat="1" applyFont="1" applyFill="1" applyBorder="1"/>
    <xf numFmtId="0" fontId="56" fillId="0" borderId="0" xfId="0" applyFont="1" applyAlignment="1">
      <alignment horizontal="center"/>
    </xf>
    <xf numFmtId="3" fontId="56" fillId="0" borderId="0" xfId="0" applyNumberFormat="1" applyFont="1" applyAlignment="1">
      <alignment horizontal="center"/>
    </xf>
    <xf numFmtId="165" fontId="57" fillId="0" borderId="8" xfId="2" applyNumberFormat="1" applyFont="1" applyBorder="1"/>
    <xf numFmtId="165" fontId="9" fillId="0" borderId="5" xfId="2" applyNumberFormat="1" applyFont="1" applyFill="1" applyBorder="1" applyAlignment="1">
      <alignment horizontal="center"/>
    </xf>
    <xf numFmtId="165" fontId="9" fillId="0" borderId="14" xfId="2" applyNumberFormat="1" applyFont="1" applyFill="1" applyBorder="1"/>
    <xf numFmtId="164" fontId="9" fillId="17" borderId="8" xfId="2" applyFont="1" applyFill="1" applyBorder="1"/>
    <xf numFmtId="0" fontId="9" fillId="0" borderId="7" xfId="1" applyFont="1" applyBorder="1"/>
    <xf numFmtId="164" fontId="53" fillId="0" borderId="1" xfId="2" applyNumberFormat="1" applyFont="1" applyBorder="1" applyAlignment="1">
      <alignment horizontal="center" vertical="center"/>
    </xf>
    <xf numFmtId="0" fontId="58" fillId="0" borderId="8" xfId="1" applyFont="1" applyBorder="1"/>
    <xf numFmtId="0" fontId="59" fillId="0" borderId="1" xfId="1" applyFont="1" applyBorder="1"/>
    <xf numFmtId="164" fontId="43" fillId="0" borderId="1" xfId="0" applyNumberFormat="1" applyFont="1" applyBorder="1" applyAlignment="1">
      <alignment vertical="center" wrapText="1"/>
    </xf>
    <xf numFmtId="0" fontId="9" fillId="0" borderId="6" xfId="1" applyBorder="1" applyAlignment="1">
      <alignment wrapText="1"/>
    </xf>
    <xf numFmtId="0" fontId="9" fillId="0" borderId="1" xfId="1" applyFont="1" applyBorder="1"/>
    <xf numFmtId="0" fontId="9" fillId="0" borderId="0" xfId="1" applyBorder="1"/>
    <xf numFmtId="165" fontId="9" fillId="16" borderId="3" xfId="2" applyNumberFormat="1" applyFont="1" applyFill="1" applyBorder="1"/>
    <xf numFmtId="165" fontId="43" fillId="7" borderId="8" xfId="2" applyNumberFormat="1" applyFont="1" applyFill="1" applyBorder="1" applyAlignment="1">
      <alignment horizontal="center" vertical="center"/>
    </xf>
    <xf numFmtId="0" fontId="7" fillId="0" borderId="8" xfId="0" applyFont="1" applyBorder="1"/>
    <xf numFmtId="165" fontId="18" fillId="18" borderId="0" xfId="2" applyNumberFormat="1" applyFont="1" applyFill="1"/>
    <xf numFmtId="165" fontId="51" fillId="0" borderId="0" xfId="2" applyNumberFormat="1" applyFont="1" applyFill="1" applyBorder="1" applyAlignment="1">
      <alignment vertical="center"/>
    </xf>
    <xf numFmtId="165" fontId="18" fillId="0" borderId="0" xfId="2" applyNumberFormat="1" applyFont="1" applyAlignment="1">
      <alignment horizontal="center"/>
    </xf>
    <xf numFmtId="0" fontId="18" fillId="0" borderId="0" xfId="0" applyFont="1" applyAlignment="1">
      <alignment wrapText="1"/>
    </xf>
    <xf numFmtId="165" fontId="18" fillId="0" borderId="0" xfId="2" applyNumberFormat="1" applyFont="1"/>
    <xf numFmtId="0" fontId="18" fillId="0" borderId="0" xfId="0" applyFont="1"/>
    <xf numFmtId="165" fontId="19" fillId="0" borderId="0" xfId="2" applyNumberFormat="1" applyFont="1"/>
    <xf numFmtId="165" fontId="43" fillId="0" borderId="3" xfId="2" applyNumberFormat="1" applyFont="1" applyBorder="1" applyAlignment="1">
      <alignment horizontal="center"/>
    </xf>
    <xf numFmtId="165" fontId="43" fillId="16" borderId="21" xfId="2" applyNumberFormat="1" applyFont="1" applyFill="1" applyBorder="1" applyAlignment="1">
      <alignment horizontal="center"/>
    </xf>
    <xf numFmtId="165" fontId="43" fillId="16" borderId="3" xfId="2" applyNumberFormat="1" applyFont="1" applyFill="1" applyBorder="1" applyAlignment="1">
      <alignment horizontal="center"/>
    </xf>
    <xf numFmtId="0" fontId="60" fillId="14" borderId="8" xfId="1" applyFont="1" applyFill="1" applyBorder="1"/>
    <xf numFmtId="2" fontId="9" fillId="21" borderId="7" xfId="1" applyNumberFormat="1" applyFill="1" applyBorder="1" applyAlignment="1">
      <alignment wrapText="1"/>
    </xf>
    <xf numFmtId="2" fontId="9" fillId="22" borderId="7" xfId="1" applyNumberFormat="1" applyFill="1" applyBorder="1" applyAlignment="1">
      <alignment wrapText="1"/>
    </xf>
    <xf numFmtId="2" fontId="9" fillId="23" borderId="7" xfId="1" applyNumberFormat="1" applyFill="1" applyBorder="1" applyAlignment="1">
      <alignment wrapText="1"/>
    </xf>
    <xf numFmtId="2" fontId="9" fillId="24" borderId="7" xfId="1" applyNumberFormat="1" applyFill="1" applyBorder="1" applyAlignment="1">
      <alignment wrapText="1"/>
    </xf>
    <xf numFmtId="165" fontId="15" fillId="4" borderId="5" xfId="2" applyNumberFormat="1" applyFont="1" applyFill="1" applyBorder="1" applyAlignment="1">
      <alignment horizontal="center"/>
    </xf>
    <xf numFmtId="0" fontId="24" fillId="0" borderId="0" xfId="0" applyFont="1" applyAlignment="1">
      <alignment wrapText="1"/>
    </xf>
    <xf numFmtId="165" fontId="24" fillId="0" borderId="0" xfId="2" applyNumberFormat="1" applyFont="1" applyAlignment="1">
      <alignment horizontal="center"/>
    </xf>
    <xf numFmtId="165" fontId="24" fillId="0" borderId="0" xfId="2" applyNumberFormat="1" applyFont="1"/>
    <xf numFmtId="0" fontId="24" fillId="0" borderId="0" xfId="0" applyFont="1"/>
    <xf numFmtId="165" fontId="18" fillId="16" borderId="0" xfId="2" applyNumberFormat="1" applyFont="1" applyFill="1"/>
    <xf numFmtId="165" fontId="55" fillId="16" borderId="8" xfId="2" applyNumberFormat="1" applyFont="1" applyFill="1" applyBorder="1"/>
    <xf numFmtId="0" fontId="55" fillId="16" borderId="7" xfId="1" applyFont="1" applyFill="1" applyBorder="1"/>
    <xf numFmtId="0" fontId="37" fillId="0" borderId="16" xfId="1" applyFont="1" applyBorder="1"/>
    <xf numFmtId="165" fontId="36" fillId="0" borderId="3" xfId="2" applyNumberFormat="1" applyFont="1" applyBorder="1" applyAlignment="1">
      <alignment horizontal="center"/>
    </xf>
    <xf numFmtId="164" fontId="37" fillId="0" borderId="5" xfId="2" applyFont="1" applyBorder="1"/>
    <xf numFmtId="165" fontId="15" fillId="16" borderId="4" xfId="2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18" fillId="23" borderId="0" xfId="0" applyFont="1" applyFill="1" applyAlignment="1">
      <alignment wrapText="1"/>
    </xf>
    <xf numFmtId="165" fontId="18" fillId="23" borderId="0" xfId="2" applyNumberFormat="1" applyFont="1" applyFill="1"/>
    <xf numFmtId="165" fontId="18" fillId="16" borderId="0" xfId="2" applyNumberFormat="1" applyFont="1" applyFill="1" applyAlignment="1">
      <alignment horizontal="center"/>
    </xf>
    <xf numFmtId="164" fontId="24" fillId="0" borderId="0" xfId="2" applyNumberFormat="1" applyFont="1"/>
    <xf numFmtId="0" fontId="42" fillId="0" borderId="0" xfId="0" applyFont="1" applyFill="1" applyAlignment="1">
      <alignment wrapText="1"/>
    </xf>
    <xf numFmtId="165" fontId="42" fillId="0" borderId="0" xfId="2" applyNumberFormat="1" applyFont="1" applyFill="1" applyAlignment="1">
      <alignment horizontal="center" vertical="center"/>
    </xf>
    <xf numFmtId="165" fontId="42" fillId="0" borderId="0" xfId="2" applyNumberFormat="1" applyFont="1" applyFill="1" applyAlignment="1">
      <alignment horizontal="center"/>
    </xf>
    <xf numFmtId="165" fontId="42" fillId="0" borderId="0" xfId="2" applyNumberFormat="1" applyFont="1" applyFill="1"/>
    <xf numFmtId="165" fontId="61" fillId="0" borderId="0" xfId="2" applyNumberFormat="1" applyFont="1" applyFill="1"/>
    <xf numFmtId="165" fontId="18" fillId="0" borderId="0" xfId="2" applyNumberFormat="1" applyFont="1" applyFill="1" applyAlignment="1">
      <alignment horizontal="center"/>
    </xf>
    <xf numFmtId="0" fontId="42" fillId="0" borderId="0" xfId="0" applyFont="1" applyFill="1"/>
    <xf numFmtId="165" fontId="42" fillId="25" borderId="0" xfId="2" applyNumberFormat="1" applyFont="1" applyFill="1" applyAlignment="1">
      <alignment horizontal="center"/>
    </xf>
    <xf numFmtId="165" fontId="42" fillId="25" borderId="0" xfId="2" applyNumberFormat="1" applyFont="1" applyFill="1"/>
    <xf numFmtId="165" fontId="18" fillId="25" borderId="0" xfId="2" applyNumberFormat="1" applyFont="1" applyFill="1"/>
    <xf numFmtId="165" fontId="61" fillId="0" borderId="0" xfId="2" applyNumberFormat="1" applyFont="1" applyAlignment="1">
      <alignment horizontal="left"/>
    </xf>
    <xf numFmtId="165" fontId="61" fillId="0" borderId="0" xfId="2" applyNumberFormat="1" applyFont="1"/>
    <xf numFmtId="165" fontId="62" fillId="0" borderId="0" xfId="2" applyNumberFormat="1" applyFont="1" applyAlignment="1">
      <alignment horizontal="left"/>
    </xf>
    <xf numFmtId="165" fontId="62" fillId="0" borderId="0" xfId="2" applyNumberFormat="1" applyFont="1"/>
    <xf numFmtId="0" fontId="5" fillId="0" borderId="6" xfId="0" applyFont="1" applyBorder="1" applyAlignment="1">
      <alignment wrapText="1"/>
    </xf>
    <xf numFmtId="165" fontId="18" fillId="17" borderId="0" xfId="2" applyNumberFormat="1" applyFont="1" applyFill="1"/>
    <xf numFmtId="0" fontId="4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9" fillId="0" borderId="1" xfId="1" applyFont="1" applyFill="1" applyBorder="1"/>
    <xf numFmtId="0" fontId="2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1" fillId="11" borderId="4" xfId="0" applyFont="1" applyFill="1" applyBorder="1"/>
    <xf numFmtId="0" fontId="21" fillId="11" borderId="1" xfId="0" applyFont="1" applyFill="1" applyBorder="1"/>
    <xf numFmtId="0" fontId="21" fillId="11" borderId="14" xfId="0" applyFont="1" applyFill="1" applyBorder="1"/>
    <xf numFmtId="0" fontId="22" fillId="15" borderId="2" xfId="0" applyFont="1" applyFill="1" applyBorder="1"/>
    <xf numFmtId="0" fontId="23" fillId="15" borderId="16" xfId="0" applyFont="1" applyFill="1" applyBorder="1"/>
    <xf numFmtId="0" fontId="23" fillId="15" borderId="17" xfId="0" applyFont="1" applyFill="1" applyBorder="1"/>
    <xf numFmtId="0" fontId="21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19" xfId="0" applyFont="1" applyBorder="1"/>
    <xf numFmtId="0" fontId="17" fillId="0" borderId="18" xfId="0" applyFont="1" applyBorder="1"/>
    <xf numFmtId="0" fontId="17" fillId="0" borderId="20" xfId="0" applyFont="1" applyBorder="1"/>
    <xf numFmtId="0" fontId="13" fillId="0" borderId="0" xfId="0" applyFont="1"/>
    <xf numFmtId="0" fontId="22" fillId="11" borderId="2" xfId="0" applyFont="1" applyFill="1" applyBorder="1"/>
    <xf numFmtId="0" fontId="22" fillId="11" borderId="16" xfId="0" applyFont="1" applyFill="1" applyBorder="1"/>
    <xf numFmtId="0" fontId="22" fillId="11" borderId="16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6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165" fontId="18" fillId="16" borderId="0" xfId="2" applyNumberFormat="1" applyFont="1" applyFill="1" applyAlignment="1">
      <alignment horizontal="center" vertical="center"/>
    </xf>
    <xf numFmtId="165" fontId="42" fillId="17" borderId="0" xfId="2" applyNumberFormat="1" applyFont="1" applyFill="1" applyAlignment="1">
      <alignment horizontal="center" vertical="center"/>
    </xf>
    <xf numFmtId="165" fontId="18" fillId="18" borderId="0" xfId="2" applyNumberFormat="1" applyFont="1" applyFill="1" applyAlignment="1">
      <alignment horizontal="center" vertical="center"/>
    </xf>
    <xf numFmtId="165" fontId="61" fillId="0" borderId="0" xfId="2" applyNumberFormat="1" applyFont="1" applyAlignment="1">
      <alignment horizontal="center" vertical="center"/>
    </xf>
    <xf numFmtId="165" fontId="18" fillId="16" borderId="0" xfId="2" applyNumberFormat="1" applyFont="1" applyFill="1" applyAlignment="1">
      <alignment horizontal="center" vertical="center" wrapText="1"/>
    </xf>
    <xf numFmtId="165" fontId="42" fillId="25" borderId="0" xfId="2" applyNumberFormat="1" applyFont="1" applyFill="1" applyAlignment="1">
      <alignment horizontal="center"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5" fillId="0" borderId="0" xfId="0" applyFont="1"/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5"/>
  <sheetViews>
    <sheetView workbookViewId="0">
      <selection activeCell="Z20" sqref="Z20:Z21"/>
    </sheetView>
  </sheetViews>
  <sheetFormatPr defaultRowHeight="14.4" x14ac:dyDescent="0.3"/>
  <cols>
    <col min="4" max="4" width="9.88671875" bestFit="1" customWidth="1"/>
    <col min="5" max="5" width="1" customWidth="1"/>
    <col min="6" max="6" width="12" style="1" customWidth="1"/>
    <col min="7" max="7" width="10.88671875" style="1" customWidth="1"/>
    <col min="8" max="8" width="11.44140625" hidden="1" customWidth="1"/>
    <col min="9" max="9" width="10.44140625" style="1" hidden="1" customWidth="1"/>
    <col min="10" max="11" width="10.88671875" style="1" hidden="1" customWidth="1"/>
    <col min="12" max="12" width="10" hidden="1" customWidth="1"/>
    <col min="13" max="13" width="10.88671875" hidden="1" customWidth="1"/>
    <col min="14" max="14" width="12.5546875" hidden="1" customWidth="1"/>
    <col min="15" max="16" width="0.88671875" hidden="1" customWidth="1"/>
    <col min="17" max="17" width="0.6640625" hidden="1" customWidth="1"/>
    <col min="18" max="20" width="0.88671875" hidden="1" customWidth="1"/>
    <col min="21" max="21" width="11.33203125" style="1" customWidth="1"/>
    <col min="22" max="22" width="12" style="1" customWidth="1"/>
    <col min="23" max="23" width="16.109375" style="1" customWidth="1"/>
  </cols>
  <sheetData>
    <row r="1" spans="1:23" ht="6" customHeight="1" x14ac:dyDescent="0.3"/>
    <row r="2" spans="1:23" ht="21" customHeight="1" x14ac:dyDescent="0.3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5">
      <c r="A3" s="438" t="s">
        <v>1</v>
      </c>
      <c r="B3" s="439"/>
      <c r="C3" s="439"/>
      <c r="D3" s="439"/>
      <c r="E3" s="440"/>
      <c r="F3" s="421" t="s">
        <v>2</v>
      </c>
      <c r="G3" s="421" t="s">
        <v>2</v>
      </c>
      <c r="H3" s="9" t="s">
        <v>3</v>
      </c>
      <c r="I3" s="419" t="s">
        <v>4</v>
      </c>
      <c r="J3" s="419" t="s">
        <v>5</v>
      </c>
      <c r="K3" s="419" t="s">
        <v>6</v>
      </c>
      <c r="L3" s="419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421" t="s">
        <v>10</v>
      </c>
      <c r="V3" s="421" t="s">
        <v>11</v>
      </c>
      <c r="W3" s="431" t="s">
        <v>12</v>
      </c>
    </row>
    <row r="4" spans="1:23" ht="0.75" customHeight="1" x14ac:dyDescent="0.3">
      <c r="A4" s="12"/>
      <c r="B4" s="13"/>
      <c r="C4" s="13"/>
      <c r="D4" s="13"/>
      <c r="E4" s="13"/>
      <c r="F4" s="422"/>
      <c r="G4" s="422"/>
      <c r="H4" s="14" t="s">
        <v>13</v>
      </c>
      <c r="I4" s="420"/>
      <c r="J4" s="420"/>
      <c r="K4" s="420"/>
      <c r="L4" s="420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422"/>
      <c r="V4" s="430"/>
      <c r="W4" s="432"/>
    </row>
    <row r="5" spans="1:23" ht="15.6" x14ac:dyDescent="0.3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6" x14ac:dyDescent="0.3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6" x14ac:dyDescent="0.3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6" x14ac:dyDescent="0.3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6" x14ac:dyDescent="0.3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6" x14ac:dyDescent="0.3">
      <c r="A10" s="433" t="s">
        <v>25</v>
      </c>
      <c r="B10" s="434"/>
      <c r="C10" s="434"/>
      <c r="D10" s="434"/>
      <c r="E10" s="435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5">
      <c r="A11" s="436" t="s">
        <v>26</v>
      </c>
      <c r="B11" s="437"/>
      <c r="C11" s="437"/>
      <c r="D11" s="437"/>
      <c r="E11" s="437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6" x14ac:dyDescent="0.3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расходы'!B86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6" x14ac:dyDescent="0.3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17000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6" x14ac:dyDescent="0.3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связь!B9</f>
        <v>6200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6" x14ac:dyDescent="0.3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6" x14ac:dyDescent="0.3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731270.01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6" x14ac:dyDescent="0.3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40000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6" x14ac:dyDescent="0.3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292625.02999999997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6" x14ac:dyDescent="0.3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6" x14ac:dyDescent="0.3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609000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6" x14ac:dyDescent="0.3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6" x14ac:dyDescent="0.3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6" x14ac:dyDescent="0.3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вода!B31</f>
        <v>32764.799999999999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6" x14ac:dyDescent="0.3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6" x14ac:dyDescent="0.3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6" x14ac:dyDescent="0.3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232766.64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6" x14ac:dyDescent="0.3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6" x14ac:dyDescent="0.3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транспорт'!B47</f>
        <v>55368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6" x14ac:dyDescent="0.3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82340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6" x14ac:dyDescent="0.3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6" x14ac:dyDescent="0.3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0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6" x14ac:dyDescent="0.3">
      <c r="A32" s="423" t="s">
        <v>48</v>
      </c>
      <c r="B32" s="424"/>
      <c r="C32" s="424"/>
      <c r="D32" s="424"/>
      <c r="E32" s="425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3">
      <c r="A34" s="426" t="s">
        <v>49</v>
      </c>
      <c r="B34" s="426"/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90"/>
      <c r="W34" s="90"/>
    </row>
    <row r="35" spans="1:23" x14ac:dyDescent="0.3">
      <c r="A35" s="427" t="s">
        <v>50</v>
      </c>
      <c r="B35" s="428"/>
      <c r="C35" s="428"/>
      <c r="D35" s="428"/>
      <c r="E35" s="428"/>
      <c r="F35" s="429"/>
      <c r="G35" s="429"/>
      <c r="H35" s="428"/>
      <c r="I35" s="429"/>
      <c r="J35" s="429"/>
      <c r="K35" s="429"/>
      <c r="L35" s="428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3">
      <c r="A36" s="410" t="s">
        <v>51</v>
      </c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2"/>
      <c r="V36" s="90"/>
      <c r="W36" s="90"/>
    </row>
    <row r="37" spans="1:23" x14ac:dyDescent="0.3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3">
      <c r="A38" s="413"/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4"/>
      <c r="U38" s="415"/>
      <c r="V38" s="90"/>
      <c r="W38" s="90"/>
    </row>
    <row r="39" spans="1:23" x14ac:dyDescent="0.3">
      <c r="A39" s="416"/>
      <c r="B39" s="417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8"/>
      <c r="V39" s="90"/>
      <c r="W39" s="90"/>
    </row>
    <row r="40" spans="1:23" x14ac:dyDescent="0.3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3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3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3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3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3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3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3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3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3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3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3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3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3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3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3">
      <c r="I55" s="90"/>
    </row>
  </sheetData>
  <mergeCells count="18"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  <mergeCell ref="A36:U36"/>
    <mergeCell ref="A38:U38"/>
    <mergeCell ref="A39:U39"/>
    <mergeCell ref="L3:L4"/>
    <mergeCell ref="U3:U4"/>
    <mergeCell ref="A32:E32"/>
    <mergeCell ref="A34:U34"/>
    <mergeCell ref="A35:L35"/>
  </mergeCells>
  <phoneticPr fontId="25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749992370372631"/>
    <pageSetUpPr fitToPage="1"/>
  </sheetPr>
  <dimension ref="A1:N12"/>
  <sheetViews>
    <sheetView workbookViewId="0">
      <selection activeCell="G4" sqref="G4"/>
    </sheetView>
  </sheetViews>
  <sheetFormatPr defaultRowHeight="14.4" x14ac:dyDescent="0.3"/>
  <cols>
    <col min="1" max="1" width="38" bestFit="1" customWidth="1"/>
    <col min="2" max="4" width="12.88671875" bestFit="1" customWidth="1"/>
    <col min="5" max="7" width="10.33203125" bestFit="1" customWidth="1"/>
    <col min="8" max="8" width="12.88671875" bestFit="1" customWidth="1"/>
    <col min="9" max="13" width="12.88671875" customWidth="1"/>
    <col min="14" max="14" width="14.5546875" bestFit="1" customWidth="1"/>
  </cols>
  <sheetData>
    <row r="1" spans="1:14" x14ac:dyDescent="0.3">
      <c r="A1" s="155" t="s">
        <v>36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353"/>
      <c r="J1" s="353"/>
      <c r="K1" s="353"/>
      <c r="L1" s="353"/>
      <c r="M1" s="353"/>
      <c r="N1" s="156"/>
    </row>
    <row r="2" spans="1:14" x14ac:dyDescent="0.3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3">
      <c r="A3" s="152" t="s">
        <v>155</v>
      </c>
      <c r="B3" s="178">
        <v>609000</v>
      </c>
      <c r="C3" s="178">
        <v>382800</v>
      </c>
      <c r="D3" s="178">
        <v>197200</v>
      </c>
      <c r="E3" s="178">
        <v>214600</v>
      </c>
      <c r="F3" s="178">
        <v>156600</v>
      </c>
      <c r="G3" s="178">
        <v>307400</v>
      </c>
      <c r="H3" s="178"/>
      <c r="I3" s="178"/>
      <c r="J3" s="178"/>
      <c r="K3" s="178"/>
      <c r="L3" s="178"/>
      <c r="M3" s="178"/>
      <c r="N3" s="178">
        <f>SUM(B3:M3)</f>
        <v>1867600</v>
      </c>
    </row>
    <row r="4" spans="1:14" x14ac:dyDescent="0.3">
      <c r="A4" s="152" t="s">
        <v>192</v>
      </c>
      <c r="B4" s="178"/>
      <c r="C4" s="178">
        <v>26408.62</v>
      </c>
      <c r="D4" s="178"/>
      <c r="E4" s="178"/>
      <c r="F4" s="178">
        <v>27763</v>
      </c>
      <c r="G4" s="178">
        <v>26408</v>
      </c>
      <c r="H4" s="178"/>
      <c r="I4" s="178"/>
      <c r="J4" s="178"/>
      <c r="K4" s="178"/>
      <c r="L4" s="178"/>
      <c r="M4" s="178"/>
      <c r="N4" s="178">
        <f t="shared" ref="N4:N9" si="0">SUM(B4:M4)</f>
        <v>80579.62</v>
      </c>
    </row>
    <row r="5" spans="1:14" x14ac:dyDescent="0.3">
      <c r="A5" s="152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>
        <f t="shared" si="0"/>
        <v>0</v>
      </c>
    </row>
    <row r="6" spans="1:14" x14ac:dyDescent="0.3">
      <c r="A6" s="152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0</v>
      </c>
    </row>
    <row r="7" spans="1:14" x14ac:dyDescent="0.3">
      <c r="A7" s="152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3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0</v>
      </c>
    </row>
    <row r="9" spans="1:14" x14ac:dyDescent="0.3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3">
      <c r="A10" s="155" t="s">
        <v>90</v>
      </c>
      <c r="B10" s="166">
        <f t="shared" ref="B10:M10" si="1">SUM(B3:B9)</f>
        <v>609000</v>
      </c>
      <c r="C10" s="166">
        <f t="shared" si="1"/>
        <v>409208.62</v>
      </c>
      <c r="D10" s="166">
        <f t="shared" si="1"/>
        <v>197200</v>
      </c>
      <c r="E10" s="166">
        <f t="shared" si="1"/>
        <v>214600</v>
      </c>
      <c r="F10" s="166">
        <f t="shared" si="1"/>
        <v>184363</v>
      </c>
      <c r="G10" s="166">
        <f t="shared" si="1"/>
        <v>333808</v>
      </c>
      <c r="H10" s="166">
        <f t="shared" si="1"/>
        <v>0</v>
      </c>
      <c r="I10" s="166">
        <f t="shared" si="1"/>
        <v>0</v>
      </c>
      <c r="J10" s="166">
        <f t="shared" si="1"/>
        <v>0</v>
      </c>
      <c r="K10" s="166">
        <f t="shared" si="1"/>
        <v>0</v>
      </c>
      <c r="L10" s="166">
        <f t="shared" si="1"/>
        <v>0</v>
      </c>
      <c r="M10" s="166">
        <f t="shared" si="1"/>
        <v>0</v>
      </c>
      <c r="N10" s="166">
        <f>SUM(N3:N9)</f>
        <v>1948179.62</v>
      </c>
    </row>
    <row r="12" spans="1:14" x14ac:dyDescent="0.3">
      <c r="N12" s="160">
        <f>SUM(B10:M10)-N10</f>
        <v>0</v>
      </c>
    </row>
  </sheetData>
  <phoneticPr fontId="25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A1:N33"/>
  <sheetViews>
    <sheetView workbookViewId="0">
      <selection activeCell="G17" sqref="G17"/>
    </sheetView>
  </sheetViews>
  <sheetFormatPr defaultRowHeight="14.4" x14ac:dyDescent="0.3"/>
  <cols>
    <col min="1" max="1" width="35.109375" bestFit="1" customWidth="1"/>
    <col min="2" max="2" width="12.44140625" customWidth="1"/>
    <col min="3" max="4" width="10.33203125" bestFit="1" customWidth="1"/>
    <col min="5" max="5" width="11.88671875" bestFit="1" customWidth="1"/>
    <col min="13" max="13" width="10.33203125" bestFit="1" customWidth="1"/>
    <col min="14" max="14" width="12.88671875" bestFit="1" customWidth="1"/>
  </cols>
  <sheetData>
    <row r="1" spans="1:14" x14ac:dyDescent="0.3">
      <c r="A1" s="155" t="s">
        <v>39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3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3">
      <c r="A3" s="304" t="s">
        <v>221</v>
      </c>
      <c r="B3" s="184"/>
      <c r="C3" s="184"/>
      <c r="D3" s="303">
        <f>28564+116364</f>
        <v>144928</v>
      </c>
      <c r="E3" s="189"/>
      <c r="F3" s="189"/>
      <c r="G3" s="303"/>
      <c r="H3" s="189"/>
      <c r="I3" s="189"/>
      <c r="J3" s="354"/>
      <c r="K3" s="184"/>
      <c r="L3" s="184"/>
      <c r="M3" s="354"/>
      <c r="N3" s="178">
        <f t="shared" ref="N3:N30" si="0">SUM(B3:M3)</f>
        <v>144928</v>
      </c>
    </row>
    <row r="4" spans="1:14" x14ac:dyDescent="0.3">
      <c r="A4" s="152" t="s">
        <v>148</v>
      </c>
      <c r="B4" s="189">
        <v>26788.799999999999</v>
      </c>
      <c r="C4" s="184"/>
      <c r="D4" s="189"/>
      <c r="E4" s="189"/>
      <c r="F4" s="189"/>
      <c r="G4" s="189"/>
      <c r="H4" s="189"/>
      <c r="I4" s="189"/>
      <c r="J4" s="184"/>
      <c r="K4" s="184"/>
      <c r="L4" s="184"/>
      <c r="M4" s="184"/>
      <c r="N4" s="178">
        <f t="shared" si="0"/>
        <v>26788.799999999999</v>
      </c>
    </row>
    <row r="5" spans="1:14" x14ac:dyDescent="0.3">
      <c r="A5" s="152" t="s">
        <v>110</v>
      </c>
      <c r="B5" s="189">
        <v>5976</v>
      </c>
      <c r="C5" s="184">
        <v>9096</v>
      </c>
      <c r="D5" s="189">
        <v>20895</v>
      </c>
      <c r="E5" s="189"/>
      <c r="F5" s="189"/>
      <c r="G5" s="189">
        <v>6468</v>
      </c>
      <c r="H5" s="189"/>
      <c r="I5" s="189"/>
      <c r="J5" s="184"/>
      <c r="K5" s="184"/>
      <c r="L5" s="184"/>
      <c r="M5" s="184"/>
      <c r="N5" s="178">
        <f t="shared" si="0"/>
        <v>42435</v>
      </c>
    </row>
    <row r="6" spans="1:14" x14ac:dyDescent="0.3">
      <c r="A6" s="176" t="s">
        <v>204</v>
      </c>
      <c r="B6" s="178"/>
      <c r="C6" s="178">
        <v>1234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1234</v>
      </c>
    </row>
    <row r="7" spans="1:14" ht="15" customHeight="1" x14ac:dyDescent="0.3">
      <c r="A7" s="152" t="s">
        <v>230</v>
      </c>
      <c r="B7" s="179"/>
      <c r="C7" s="178"/>
      <c r="D7" s="179">
        <v>1150</v>
      </c>
      <c r="E7" s="179"/>
      <c r="F7" s="179"/>
      <c r="G7" s="179"/>
      <c r="H7" s="179"/>
      <c r="I7" s="179"/>
      <c r="J7" s="178"/>
      <c r="K7" s="178"/>
      <c r="L7" s="178"/>
      <c r="M7" s="178"/>
      <c r="N7" s="178">
        <f t="shared" si="0"/>
        <v>1150</v>
      </c>
    </row>
    <row r="8" spans="1:14" ht="15" customHeight="1" x14ac:dyDescent="0.3">
      <c r="A8" s="174" t="s">
        <v>231</v>
      </c>
      <c r="B8" s="178"/>
      <c r="C8" s="178"/>
      <c r="D8" s="178">
        <v>1500</v>
      </c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1500</v>
      </c>
    </row>
    <row r="9" spans="1:14" ht="15" customHeight="1" x14ac:dyDescent="0.3">
      <c r="A9" s="174" t="s">
        <v>236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ht="15" customHeight="1" x14ac:dyDescent="0.3">
      <c r="A10" s="174" t="s">
        <v>238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v>2040</v>
      </c>
    </row>
    <row r="11" spans="1:14" ht="15" customHeight="1" x14ac:dyDescent="0.3">
      <c r="A11" s="161" t="s">
        <v>237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v>3780</v>
      </c>
    </row>
    <row r="12" spans="1:14" ht="15" customHeight="1" x14ac:dyDescent="0.3">
      <c r="A12" s="161" t="s">
        <v>241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v>570</v>
      </c>
    </row>
    <row r="13" spans="1:14" ht="15" customHeight="1" x14ac:dyDescent="0.3">
      <c r="A13" s="165" t="s">
        <v>251</v>
      </c>
      <c r="B13" s="178"/>
      <c r="C13" s="178"/>
      <c r="D13" s="178"/>
      <c r="E13" s="178"/>
      <c r="F13" s="178">
        <v>6000</v>
      </c>
      <c r="G13" s="178"/>
      <c r="H13" s="178"/>
      <c r="I13" s="178"/>
      <c r="J13" s="178"/>
      <c r="K13" s="178"/>
      <c r="L13" s="178"/>
      <c r="M13" s="178"/>
      <c r="N13" s="178">
        <f t="shared" si="0"/>
        <v>6000</v>
      </c>
    </row>
    <row r="14" spans="1:14" ht="15" customHeight="1" x14ac:dyDescent="0.3">
      <c r="A14" s="152" t="s">
        <v>266</v>
      </c>
      <c r="B14" s="178"/>
      <c r="C14" s="178"/>
      <c r="D14" s="178"/>
      <c r="E14" s="178"/>
      <c r="F14" s="178">
        <v>2517</v>
      </c>
      <c r="G14" s="178"/>
      <c r="H14" s="178"/>
      <c r="I14" s="178"/>
      <c r="J14" s="178"/>
      <c r="K14" s="178"/>
      <c r="L14" s="178"/>
      <c r="M14" s="178"/>
      <c r="N14" s="178">
        <f t="shared" si="0"/>
        <v>2517</v>
      </c>
    </row>
    <row r="15" spans="1:14" ht="15" customHeight="1" x14ac:dyDescent="0.3">
      <c r="A15" s="152" t="s">
        <v>267</v>
      </c>
      <c r="B15" s="178"/>
      <c r="C15" s="178"/>
      <c r="D15" s="178"/>
      <c r="E15" s="178"/>
      <c r="F15" s="178">
        <v>1650</v>
      </c>
      <c r="G15" s="178"/>
      <c r="H15" s="178"/>
      <c r="I15" s="178"/>
      <c r="J15" s="178"/>
      <c r="K15" s="178"/>
      <c r="L15" s="178"/>
      <c r="M15" s="178"/>
      <c r="N15" s="178">
        <f t="shared" si="0"/>
        <v>1650</v>
      </c>
    </row>
    <row r="16" spans="1:14" ht="15" customHeight="1" x14ac:dyDescent="0.3">
      <c r="A16" s="152" t="s">
        <v>280</v>
      </c>
      <c r="B16" s="178"/>
      <c r="C16" s="178"/>
      <c r="D16" s="178"/>
      <c r="E16" s="178">
        <v>200</v>
      </c>
      <c r="F16" s="178"/>
      <c r="G16" s="178">
        <v>520</v>
      </c>
      <c r="H16" s="178"/>
      <c r="I16" s="178"/>
      <c r="J16" s="178"/>
      <c r="K16" s="178"/>
      <c r="L16" s="178"/>
      <c r="M16" s="178"/>
      <c r="N16" s="178">
        <f t="shared" si="0"/>
        <v>720</v>
      </c>
    </row>
    <row r="17" spans="1:14" ht="15" customHeight="1" x14ac:dyDescent="0.3">
      <c r="A17" s="152" t="s">
        <v>281</v>
      </c>
      <c r="B17" s="178"/>
      <c r="C17" s="178"/>
      <c r="D17" s="178"/>
      <c r="E17" s="178">
        <v>3424</v>
      </c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3424</v>
      </c>
    </row>
    <row r="18" spans="1:14" ht="15" customHeight="1" x14ac:dyDescent="0.3">
      <c r="A18" s="152" t="s">
        <v>294</v>
      </c>
      <c r="B18" s="178"/>
      <c r="C18" s="178"/>
      <c r="D18" s="178"/>
      <c r="E18" s="178">
        <v>4012</v>
      </c>
      <c r="F18" s="178"/>
      <c r="G18" s="178"/>
      <c r="H18" s="178"/>
      <c r="I18" s="178"/>
      <c r="J18" s="178"/>
      <c r="K18" s="178"/>
      <c r="L18" s="178"/>
      <c r="M18" s="178"/>
      <c r="N18" s="178">
        <f t="shared" si="0"/>
        <v>4012</v>
      </c>
    </row>
    <row r="19" spans="1:14" ht="15" customHeight="1" x14ac:dyDescent="0.3">
      <c r="A19" s="152" t="s">
        <v>295</v>
      </c>
      <c r="B19" s="178"/>
      <c r="C19" s="178"/>
      <c r="D19" s="178"/>
      <c r="E19" s="178">
        <v>2405</v>
      </c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2405</v>
      </c>
    </row>
    <row r="20" spans="1:14" ht="15" customHeight="1" x14ac:dyDescent="0.3">
      <c r="A20" s="152" t="s">
        <v>296</v>
      </c>
      <c r="B20" s="178"/>
      <c r="C20" s="178"/>
      <c r="D20" s="178"/>
      <c r="E20" s="178">
        <v>2680</v>
      </c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2680</v>
      </c>
    </row>
    <row r="21" spans="1:14" ht="15" customHeight="1" x14ac:dyDescent="0.3">
      <c r="A21" s="152" t="s">
        <v>178</v>
      </c>
      <c r="B21" s="178"/>
      <c r="C21" s="178"/>
      <c r="D21" s="178"/>
      <c r="E21" s="178"/>
      <c r="F21" s="178"/>
      <c r="G21" s="178">
        <v>400</v>
      </c>
      <c r="H21" s="178"/>
      <c r="I21" s="178"/>
      <c r="J21" s="178"/>
      <c r="K21" s="178"/>
      <c r="L21" s="178"/>
      <c r="M21" s="178"/>
      <c r="N21" s="178">
        <f t="shared" si="0"/>
        <v>400</v>
      </c>
    </row>
    <row r="22" spans="1:14" ht="15" customHeight="1" x14ac:dyDescent="0.3">
      <c r="A22" s="152" t="s">
        <v>317</v>
      </c>
      <c r="B22" s="178"/>
      <c r="C22" s="178"/>
      <c r="D22" s="178"/>
      <c r="E22" s="178"/>
      <c r="F22" s="178"/>
      <c r="G22" s="178">
        <v>560</v>
      </c>
      <c r="H22" s="178"/>
      <c r="I22" s="178"/>
      <c r="J22" s="178"/>
      <c r="K22" s="178"/>
      <c r="L22" s="178"/>
      <c r="M22" s="178"/>
      <c r="N22" s="178">
        <f t="shared" si="0"/>
        <v>560</v>
      </c>
    </row>
    <row r="23" spans="1:14" ht="15" customHeight="1" x14ac:dyDescent="0.3">
      <c r="A23" s="152" t="s">
        <v>318</v>
      </c>
      <c r="B23" s="178"/>
      <c r="C23" s="178"/>
      <c r="D23" s="178"/>
      <c r="E23" s="178"/>
      <c r="F23" s="178"/>
      <c r="G23" s="178">
        <v>2400</v>
      </c>
      <c r="H23" s="178"/>
      <c r="I23" s="178"/>
      <c r="J23" s="178"/>
      <c r="K23" s="178"/>
      <c r="L23" s="178"/>
      <c r="M23" s="178"/>
      <c r="N23" s="178">
        <f t="shared" si="0"/>
        <v>2400</v>
      </c>
    </row>
    <row r="24" spans="1:14" ht="15" customHeight="1" x14ac:dyDescent="0.3">
      <c r="A24" s="152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t="15" customHeight="1" x14ac:dyDescent="0.3">
      <c r="A25" s="175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t="15" customHeight="1" x14ac:dyDescent="0.3">
      <c r="A26" s="152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t="15" customHeight="1" x14ac:dyDescent="0.3">
      <c r="A27" s="152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t="15" customHeight="1" x14ac:dyDescent="0.3">
      <c r="A28" s="152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ref="N28" si="1">SUM(B28:M28)</f>
        <v>0</v>
      </c>
    </row>
    <row r="29" spans="1:14" ht="15" customHeight="1" x14ac:dyDescent="0.3">
      <c r="A29" s="152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t="15" customHeight="1" x14ac:dyDescent="0.3">
      <c r="A30" s="152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t="15" customHeight="1" x14ac:dyDescent="0.3">
      <c r="A31" s="155" t="s">
        <v>90</v>
      </c>
      <c r="B31" s="153">
        <f t="shared" ref="B31:M31" si="2">SUM(B3:B30)</f>
        <v>32764.799999999999</v>
      </c>
      <c r="C31" s="153">
        <f t="shared" si="2"/>
        <v>10330</v>
      </c>
      <c r="D31" s="153">
        <f t="shared" si="2"/>
        <v>168473</v>
      </c>
      <c r="E31" s="153">
        <f t="shared" si="2"/>
        <v>12721</v>
      </c>
      <c r="F31" s="153">
        <f t="shared" si="2"/>
        <v>10167</v>
      </c>
      <c r="G31" s="153">
        <f t="shared" si="2"/>
        <v>10348</v>
      </c>
      <c r="H31" s="153">
        <f t="shared" si="2"/>
        <v>0</v>
      </c>
      <c r="I31" s="153">
        <f t="shared" si="2"/>
        <v>0</v>
      </c>
      <c r="J31" s="153">
        <f t="shared" si="2"/>
        <v>0</v>
      </c>
      <c r="K31" s="153">
        <f t="shared" si="2"/>
        <v>0</v>
      </c>
      <c r="L31" s="153">
        <f t="shared" si="2"/>
        <v>0</v>
      </c>
      <c r="M31" s="153">
        <f t="shared" si="2"/>
        <v>0</v>
      </c>
      <c r="N31" s="153">
        <f>SUM(N3:N30)</f>
        <v>251193.8</v>
      </c>
    </row>
    <row r="32" spans="1:14" ht="15" customHeight="1" x14ac:dyDescent="0.3"/>
    <row r="33" spans="14:14" x14ac:dyDescent="0.3">
      <c r="N33" s="160">
        <f>SUM(B31:M31)-N31</f>
        <v>-6390</v>
      </c>
    </row>
  </sheetData>
  <phoneticPr fontId="25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  <pageSetUpPr fitToPage="1"/>
  </sheetPr>
  <dimension ref="A1:N66"/>
  <sheetViews>
    <sheetView workbookViewId="0">
      <selection activeCell="G30" sqref="G30"/>
    </sheetView>
  </sheetViews>
  <sheetFormatPr defaultColWidth="9.109375" defaultRowHeight="13.8" x14ac:dyDescent="0.25"/>
  <cols>
    <col min="1" max="1" width="38.6640625" style="332" bestFit="1" customWidth="1"/>
    <col min="2" max="2" width="11.6640625" style="340" bestFit="1" customWidth="1"/>
    <col min="3" max="3" width="10.44140625" style="332" bestFit="1" customWidth="1"/>
    <col min="4" max="4" width="10.33203125" style="332" bestFit="1" customWidth="1"/>
    <col min="5" max="5" width="10.44140625" style="332" bestFit="1" customWidth="1"/>
    <col min="6" max="6" width="10.33203125" style="332" bestFit="1" customWidth="1"/>
    <col min="7" max="7" width="12.21875" style="332" customWidth="1"/>
    <col min="8" max="8" width="10.44140625" style="332" bestFit="1" customWidth="1"/>
    <col min="9" max="9" width="11.5546875" style="332" bestFit="1" customWidth="1"/>
    <col min="10" max="11" width="10.44140625" style="332" bestFit="1" customWidth="1"/>
    <col min="12" max="13" width="9.33203125" style="332" bestFit="1" customWidth="1"/>
    <col min="14" max="14" width="12" style="332" bestFit="1" customWidth="1"/>
    <col min="15" max="16384" width="9.109375" style="332"/>
  </cols>
  <sheetData>
    <row r="1" spans="1:14" x14ac:dyDescent="0.25">
      <c r="A1" s="328" t="s">
        <v>104</v>
      </c>
      <c r="B1" s="329" t="str">
        <f>'ВСЕ затраты'!B1</f>
        <v>2024-2025гг.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1"/>
    </row>
    <row r="2" spans="1:14" x14ac:dyDescent="0.25">
      <c r="A2" s="331"/>
      <c r="B2" s="333" t="s">
        <v>9</v>
      </c>
      <c r="C2" s="334" t="s">
        <v>14</v>
      </c>
      <c r="D2" s="333" t="s">
        <v>15</v>
      </c>
      <c r="E2" s="334" t="s">
        <v>16</v>
      </c>
      <c r="F2" s="333" t="s">
        <v>17</v>
      </c>
      <c r="G2" s="334" t="s">
        <v>18</v>
      </c>
      <c r="H2" s="333" t="s">
        <v>19</v>
      </c>
      <c r="I2" s="334" t="s">
        <v>4</v>
      </c>
      <c r="J2" s="333" t="s">
        <v>5</v>
      </c>
      <c r="K2" s="334" t="s">
        <v>6</v>
      </c>
      <c r="L2" s="333" t="s">
        <v>7</v>
      </c>
      <c r="M2" s="334" t="s">
        <v>8</v>
      </c>
      <c r="N2" s="334" t="s">
        <v>90</v>
      </c>
    </row>
    <row r="3" spans="1:14" x14ac:dyDescent="0.25">
      <c r="A3" s="338" t="s">
        <v>156</v>
      </c>
      <c r="B3" s="337">
        <v>28300</v>
      </c>
      <c r="C3" s="337"/>
      <c r="D3" s="337">
        <v>28300</v>
      </c>
      <c r="E3" s="337"/>
      <c r="F3" s="337"/>
      <c r="G3" s="337">
        <v>28300</v>
      </c>
      <c r="H3" s="337"/>
      <c r="I3" s="337"/>
      <c r="J3" s="337"/>
      <c r="K3" s="337"/>
      <c r="L3" s="337"/>
      <c r="M3" s="337"/>
      <c r="N3" s="337">
        <f>SUM(B3:M3)</f>
        <v>84900</v>
      </c>
    </row>
    <row r="4" spans="1:14" x14ac:dyDescent="0.25">
      <c r="A4" s="335" t="s">
        <v>149</v>
      </c>
      <c r="B4" s="336">
        <f>51149.04+43683.12+57882.6</f>
        <v>152714.76</v>
      </c>
      <c r="C4" s="342"/>
      <c r="D4" s="336"/>
      <c r="E4" s="336">
        <v>880</v>
      </c>
      <c r="F4" s="336"/>
      <c r="G4" s="336"/>
      <c r="H4" s="336"/>
      <c r="I4" s="336"/>
      <c r="J4" s="336"/>
      <c r="K4" s="336"/>
      <c r="L4" s="336"/>
      <c r="M4" s="337"/>
      <c r="N4" s="337">
        <f t="shared" ref="N4:N63" si="0">SUM(B4:M4)</f>
        <v>153594.76</v>
      </c>
    </row>
    <row r="5" spans="1:14" x14ac:dyDescent="0.25">
      <c r="A5" s="338" t="s">
        <v>130</v>
      </c>
      <c r="B5" s="337">
        <f>16000+16000+16000</f>
        <v>48000</v>
      </c>
      <c r="C5" s="337"/>
      <c r="D5" s="337"/>
      <c r="E5" s="337">
        <v>16000</v>
      </c>
      <c r="F5" s="337">
        <v>49325</v>
      </c>
      <c r="G5" s="337">
        <v>86000</v>
      </c>
      <c r="H5" s="337"/>
      <c r="I5" s="337"/>
      <c r="J5" s="337"/>
      <c r="K5" s="337"/>
      <c r="L5" s="337"/>
      <c r="M5" s="337"/>
      <c r="N5" s="337">
        <f t="shared" si="0"/>
        <v>199325</v>
      </c>
    </row>
    <row r="6" spans="1:14" x14ac:dyDescent="0.25">
      <c r="A6" s="338" t="s">
        <v>157</v>
      </c>
      <c r="B6" s="337">
        <v>110432</v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>
        <f t="shared" si="0"/>
        <v>110432</v>
      </c>
    </row>
    <row r="7" spans="1:14" x14ac:dyDescent="0.25">
      <c r="A7" s="338" t="s">
        <v>160</v>
      </c>
      <c r="B7" s="337">
        <v>15000</v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 t="shared" si="0"/>
        <v>15000</v>
      </c>
    </row>
    <row r="8" spans="1:14" x14ac:dyDescent="0.25">
      <c r="A8" s="338" t="s">
        <v>169</v>
      </c>
      <c r="B8" s="337">
        <v>3300</v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>
        <f t="shared" si="0"/>
        <v>3300</v>
      </c>
    </row>
    <row r="9" spans="1:14" x14ac:dyDescent="0.25">
      <c r="A9" s="338" t="s">
        <v>177</v>
      </c>
      <c r="B9" s="337">
        <f>1990+750+600</f>
        <v>3340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>
        <f t="shared" si="0"/>
        <v>3340</v>
      </c>
    </row>
    <row r="10" spans="1:14" x14ac:dyDescent="0.25">
      <c r="A10" s="338" t="s">
        <v>178</v>
      </c>
      <c r="B10" s="337">
        <v>1200</v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>
        <f t="shared" si="0"/>
        <v>1200</v>
      </c>
    </row>
    <row r="11" spans="1:14" x14ac:dyDescent="0.25">
      <c r="A11" s="338" t="s">
        <v>179</v>
      </c>
      <c r="B11" s="337">
        <v>640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>
        <f t="shared" si="0"/>
        <v>640</v>
      </c>
    </row>
    <row r="12" spans="1:14" x14ac:dyDescent="0.25">
      <c r="A12" s="379" t="s">
        <v>185</v>
      </c>
      <c r="B12" s="337"/>
      <c r="C12" s="378">
        <v>-76357.38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>
        <f t="shared" si="0"/>
        <v>-76357.38</v>
      </c>
    </row>
    <row r="13" spans="1:14" x14ac:dyDescent="0.25">
      <c r="A13" s="338" t="s">
        <v>188</v>
      </c>
      <c r="B13" s="337"/>
      <c r="C13" s="337">
        <v>4000</v>
      </c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>
        <f t="shared" si="0"/>
        <v>4000</v>
      </c>
    </row>
    <row r="14" spans="1:14" x14ac:dyDescent="0.25">
      <c r="A14" s="338" t="s">
        <v>210</v>
      </c>
      <c r="B14" s="337"/>
      <c r="C14" s="337">
        <v>780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>
        <f t="shared" si="0"/>
        <v>780</v>
      </c>
    </row>
    <row r="15" spans="1:14" x14ac:dyDescent="0.25">
      <c r="A15" s="338" t="s">
        <v>222</v>
      </c>
      <c r="B15" s="337"/>
      <c r="C15" s="337"/>
      <c r="D15" s="337">
        <v>29406</v>
      </c>
      <c r="E15" s="337"/>
      <c r="F15" s="337"/>
      <c r="G15" s="337"/>
      <c r="H15" s="337"/>
      <c r="I15" s="337"/>
      <c r="J15" s="337"/>
      <c r="K15" s="337"/>
      <c r="L15" s="337"/>
      <c r="M15" s="337"/>
      <c r="N15" s="337">
        <f t="shared" si="0"/>
        <v>29406</v>
      </c>
    </row>
    <row r="16" spans="1:14" x14ac:dyDescent="0.25">
      <c r="A16" s="338" t="s">
        <v>223</v>
      </c>
      <c r="B16" s="337"/>
      <c r="C16" s="337"/>
      <c r="D16" s="337">
        <v>38500</v>
      </c>
      <c r="E16" s="337"/>
      <c r="F16" s="337"/>
      <c r="G16" s="337"/>
      <c r="H16" s="337"/>
      <c r="I16" s="337"/>
      <c r="J16" s="337"/>
      <c r="K16" s="337"/>
      <c r="L16" s="337"/>
      <c r="M16" s="337"/>
      <c r="N16" s="337">
        <f t="shared" si="0"/>
        <v>38500</v>
      </c>
    </row>
    <row r="17" spans="1:14" x14ac:dyDescent="0.25">
      <c r="A17" s="338" t="s">
        <v>232</v>
      </c>
      <c r="B17" s="337"/>
      <c r="C17" s="337"/>
      <c r="D17" s="337">
        <v>705</v>
      </c>
      <c r="E17" s="337">
        <v>60</v>
      </c>
      <c r="F17" s="337"/>
      <c r="G17" s="337"/>
      <c r="H17" s="337"/>
      <c r="I17" s="337"/>
      <c r="J17" s="337"/>
      <c r="K17" s="337"/>
      <c r="L17" s="337"/>
      <c r="M17" s="337"/>
      <c r="N17" s="337">
        <f t="shared" si="0"/>
        <v>765</v>
      </c>
    </row>
    <row r="18" spans="1:14" x14ac:dyDescent="0.25">
      <c r="A18" s="338" t="s">
        <v>233</v>
      </c>
      <c r="B18" s="337"/>
      <c r="C18" s="337"/>
      <c r="D18" s="337">
        <v>3670</v>
      </c>
      <c r="E18" s="337"/>
      <c r="F18" s="337"/>
      <c r="G18" s="337"/>
      <c r="H18" s="337"/>
      <c r="I18" s="337"/>
      <c r="J18" s="337"/>
      <c r="K18" s="337"/>
      <c r="L18" s="337"/>
      <c r="M18" s="337"/>
      <c r="N18" s="337">
        <f t="shared" si="0"/>
        <v>3670</v>
      </c>
    </row>
    <row r="19" spans="1:14" x14ac:dyDescent="0.25">
      <c r="A19" s="338" t="s">
        <v>254</v>
      </c>
      <c r="B19" s="337"/>
      <c r="C19" s="337"/>
      <c r="D19" s="337"/>
      <c r="E19" s="337"/>
      <c r="F19" s="337">
        <v>12000</v>
      </c>
      <c r="G19" s="337"/>
      <c r="H19" s="337"/>
      <c r="I19" s="337"/>
      <c r="J19" s="337"/>
      <c r="K19" s="337"/>
      <c r="L19" s="337"/>
      <c r="M19" s="337"/>
      <c r="N19" s="337">
        <f t="shared" si="0"/>
        <v>12000</v>
      </c>
    </row>
    <row r="20" spans="1:14" x14ac:dyDescent="0.25">
      <c r="A20" s="338" t="s">
        <v>264</v>
      </c>
      <c r="B20" s="337"/>
      <c r="C20" s="337"/>
      <c r="D20" s="337"/>
      <c r="E20" s="337"/>
      <c r="F20" s="337">
        <v>6</v>
      </c>
      <c r="G20" s="337"/>
      <c r="H20" s="337"/>
      <c r="I20" s="337"/>
      <c r="J20" s="337"/>
      <c r="K20" s="337"/>
      <c r="L20" s="337"/>
      <c r="M20" s="337"/>
      <c r="N20" s="337">
        <f t="shared" si="0"/>
        <v>6</v>
      </c>
    </row>
    <row r="21" spans="1:14" x14ac:dyDescent="0.25">
      <c r="A21" s="338" t="s">
        <v>265</v>
      </c>
      <c r="B21" s="337"/>
      <c r="C21" s="337"/>
      <c r="D21" s="337"/>
      <c r="E21" s="337"/>
      <c r="F21" s="337">
        <v>1970</v>
      </c>
      <c r="G21" s="337"/>
      <c r="H21" s="337"/>
      <c r="I21" s="337"/>
      <c r="J21" s="337"/>
      <c r="K21" s="337"/>
      <c r="L21" s="337"/>
      <c r="M21" s="337"/>
      <c r="N21" s="337">
        <f t="shared" si="0"/>
        <v>1970</v>
      </c>
    </row>
    <row r="22" spans="1:14" x14ac:dyDescent="0.25">
      <c r="A22" s="338" t="s">
        <v>268</v>
      </c>
      <c r="B22" s="337"/>
      <c r="C22" s="337"/>
      <c r="D22" s="337"/>
      <c r="E22" s="337"/>
      <c r="F22" s="337">
        <v>1496</v>
      </c>
      <c r="G22" s="337"/>
      <c r="H22" s="337"/>
      <c r="I22" s="337"/>
      <c r="J22" s="337"/>
      <c r="K22" s="337"/>
      <c r="L22" s="337"/>
      <c r="M22" s="337"/>
      <c r="N22" s="337">
        <f t="shared" si="0"/>
        <v>1496</v>
      </c>
    </row>
    <row r="23" spans="1:14" x14ac:dyDescent="0.25">
      <c r="A23" s="338" t="s">
        <v>282</v>
      </c>
      <c r="B23" s="337"/>
      <c r="C23" s="337"/>
      <c r="D23" s="337"/>
      <c r="E23" s="337">
        <v>220</v>
      </c>
      <c r="F23" s="337"/>
      <c r="G23" s="337"/>
      <c r="H23" s="337"/>
      <c r="I23" s="337"/>
      <c r="J23" s="337"/>
      <c r="K23" s="337"/>
      <c r="L23" s="337"/>
      <c r="M23" s="337"/>
      <c r="N23" s="337">
        <f t="shared" si="0"/>
        <v>220</v>
      </c>
    </row>
    <row r="24" spans="1:14" x14ac:dyDescent="0.25">
      <c r="A24" s="338" t="s">
        <v>241</v>
      </c>
      <c r="B24" s="337"/>
      <c r="C24" s="337"/>
      <c r="D24" s="337"/>
      <c r="E24" s="337">
        <v>80</v>
      </c>
      <c r="F24" s="337"/>
      <c r="G24" s="337"/>
      <c r="H24" s="337"/>
      <c r="I24" s="337"/>
      <c r="J24" s="337"/>
      <c r="K24" s="337"/>
      <c r="L24" s="337"/>
      <c r="M24" s="337"/>
      <c r="N24" s="337">
        <f t="shared" si="0"/>
        <v>80</v>
      </c>
    </row>
    <row r="25" spans="1:14" x14ac:dyDescent="0.25">
      <c r="A25" s="338" t="s">
        <v>283</v>
      </c>
      <c r="B25" s="337"/>
      <c r="C25" s="337"/>
      <c r="D25" s="337"/>
      <c r="E25" s="337">
        <v>640</v>
      </c>
      <c r="F25" s="337"/>
      <c r="G25" s="337"/>
      <c r="H25" s="337"/>
      <c r="I25" s="337"/>
      <c r="J25" s="337"/>
      <c r="K25" s="337"/>
      <c r="L25" s="337"/>
      <c r="M25" s="337"/>
      <c r="N25" s="337">
        <f t="shared" si="0"/>
        <v>640</v>
      </c>
    </row>
    <row r="26" spans="1:14" x14ac:dyDescent="0.25">
      <c r="A26" s="338" t="s">
        <v>284</v>
      </c>
      <c r="B26" s="337"/>
      <c r="C26" s="337"/>
      <c r="D26" s="337"/>
      <c r="E26" s="337">
        <v>900</v>
      </c>
      <c r="F26" s="337"/>
      <c r="G26" s="337"/>
      <c r="H26" s="337"/>
      <c r="I26" s="337"/>
      <c r="J26" s="337"/>
      <c r="K26" s="337"/>
      <c r="L26" s="337"/>
      <c r="M26" s="337"/>
      <c r="N26" s="337">
        <f t="shared" si="0"/>
        <v>900</v>
      </c>
    </row>
    <row r="27" spans="1:14" x14ac:dyDescent="0.25">
      <c r="A27" s="338" t="s">
        <v>285</v>
      </c>
      <c r="B27" s="337"/>
      <c r="C27" s="337"/>
      <c r="D27" s="337"/>
      <c r="E27" s="337">
        <v>480</v>
      </c>
      <c r="F27" s="337"/>
      <c r="G27" s="337"/>
      <c r="H27" s="337"/>
      <c r="I27" s="337"/>
      <c r="J27" s="337"/>
      <c r="K27" s="337"/>
      <c r="L27" s="337"/>
      <c r="M27" s="337"/>
      <c r="N27" s="337">
        <f t="shared" si="0"/>
        <v>480</v>
      </c>
    </row>
    <row r="28" spans="1:14" x14ac:dyDescent="0.25">
      <c r="A28" s="338" t="s">
        <v>309</v>
      </c>
      <c r="B28" s="337"/>
      <c r="C28" s="337"/>
      <c r="D28" s="337"/>
      <c r="E28" s="337"/>
      <c r="F28" s="337"/>
      <c r="G28" s="337">
        <v>498</v>
      </c>
      <c r="H28" s="337"/>
      <c r="I28" s="337"/>
      <c r="J28" s="337"/>
      <c r="K28" s="337"/>
      <c r="L28" s="337"/>
      <c r="M28" s="337"/>
      <c r="N28" s="337">
        <f t="shared" si="0"/>
        <v>498</v>
      </c>
    </row>
    <row r="29" spans="1:14" x14ac:dyDescent="0.25">
      <c r="A29" s="338" t="s">
        <v>310</v>
      </c>
      <c r="B29" s="337"/>
      <c r="C29" s="337"/>
      <c r="D29" s="337"/>
      <c r="E29" s="337"/>
      <c r="F29" s="337"/>
      <c r="G29" s="337">
        <v>989</v>
      </c>
      <c r="H29" s="337"/>
      <c r="I29" s="337"/>
      <c r="J29" s="337"/>
      <c r="K29" s="337"/>
      <c r="L29" s="337"/>
      <c r="M29" s="337"/>
      <c r="N29" s="337">
        <f t="shared" si="0"/>
        <v>989</v>
      </c>
    </row>
    <row r="30" spans="1:14" x14ac:dyDescent="0.25">
      <c r="A30" s="338" t="s">
        <v>311</v>
      </c>
      <c r="B30" s="337"/>
      <c r="C30" s="337"/>
      <c r="D30" s="337"/>
      <c r="E30" s="337"/>
      <c r="F30" s="337"/>
      <c r="G30" s="337">
        <v>368</v>
      </c>
      <c r="H30" s="337"/>
      <c r="I30" s="337"/>
      <c r="J30" s="337"/>
      <c r="K30" s="337"/>
      <c r="L30" s="337"/>
      <c r="M30" s="337"/>
      <c r="N30" s="337">
        <f t="shared" si="0"/>
        <v>368</v>
      </c>
    </row>
    <row r="31" spans="1:14" x14ac:dyDescent="0.25">
      <c r="A31" s="338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>
        <f t="shared" si="0"/>
        <v>0</v>
      </c>
    </row>
    <row r="32" spans="1:14" x14ac:dyDescent="0.25">
      <c r="A32" s="338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>
        <f t="shared" si="0"/>
        <v>0</v>
      </c>
    </row>
    <row r="33" spans="1:14" x14ac:dyDescent="0.25">
      <c r="A33" s="338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>
        <f t="shared" si="0"/>
        <v>0</v>
      </c>
    </row>
    <row r="34" spans="1:14" x14ac:dyDescent="0.25">
      <c r="A34" s="338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>
        <f t="shared" si="0"/>
        <v>0</v>
      </c>
    </row>
    <row r="35" spans="1:14" x14ac:dyDescent="0.25">
      <c r="A35" s="338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>
        <f t="shared" si="0"/>
        <v>0</v>
      </c>
    </row>
    <row r="36" spans="1:14" x14ac:dyDescent="0.25">
      <c r="A36" s="338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>
        <f t="shared" si="0"/>
        <v>0</v>
      </c>
    </row>
    <row r="37" spans="1:14" x14ac:dyDescent="0.25">
      <c r="A37" s="338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>
        <f t="shared" si="0"/>
        <v>0</v>
      </c>
    </row>
    <row r="38" spans="1:14" x14ac:dyDescent="0.25">
      <c r="A38" s="338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>
        <f t="shared" si="0"/>
        <v>0</v>
      </c>
    </row>
    <row r="39" spans="1:14" x14ac:dyDescent="0.25">
      <c r="A39" s="338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>
        <f t="shared" si="0"/>
        <v>0</v>
      </c>
    </row>
    <row r="40" spans="1:14" x14ac:dyDescent="0.25">
      <c r="A40" s="338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>
        <f t="shared" si="0"/>
        <v>0</v>
      </c>
    </row>
    <row r="41" spans="1:14" x14ac:dyDescent="0.25">
      <c r="A41" s="338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>
        <f t="shared" si="0"/>
        <v>0</v>
      </c>
    </row>
    <row r="42" spans="1:14" x14ac:dyDescent="0.25">
      <c r="A42" s="338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>
        <f t="shared" si="0"/>
        <v>0</v>
      </c>
    </row>
    <row r="43" spans="1:14" x14ac:dyDescent="0.25">
      <c r="A43" s="338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>
        <f t="shared" si="0"/>
        <v>0</v>
      </c>
    </row>
    <row r="44" spans="1:14" x14ac:dyDescent="0.25">
      <c r="A44" s="338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>
        <f t="shared" si="0"/>
        <v>0</v>
      </c>
    </row>
    <row r="45" spans="1:14" x14ac:dyDescent="0.25">
      <c r="A45" s="338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>
        <f t="shared" si="0"/>
        <v>0</v>
      </c>
    </row>
    <row r="46" spans="1:14" x14ac:dyDescent="0.25">
      <c r="A46" s="338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>
        <f t="shared" si="0"/>
        <v>0</v>
      </c>
    </row>
    <row r="47" spans="1:14" x14ac:dyDescent="0.25">
      <c r="A47" s="338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>
        <f t="shared" si="0"/>
        <v>0</v>
      </c>
    </row>
    <row r="48" spans="1:14" x14ac:dyDescent="0.25">
      <c r="A48" s="338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>
        <f t="shared" si="0"/>
        <v>0</v>
      </c>
    </row>
    <row r="49" spans="1:14" x14ac:dyDescent="0.25">
      <c r="A49" s="338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>
        <f t="shared" si="0"/>
        <v>0</v>
      </c>
    </row>
    <row r="50" spans="1:14" x14ac:dyDescent="0.25">
      <c r="A50" s="338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>
        <f t="shared" si="0"/>
        <v>0</v>
      </c>
    </row>
    <row r="51" spans="1:14" x14ac:dyDescent="0.25">
      <c r="A51" s="338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>
        <f t="shared" si="0"/>
        <v>0</v>
      </c>
    </row>
    <row r="52" spans="1:14" x14ac:dyDescent="0.25">
      <c r="A52" s="338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>
        <f t="shared" si="0"/>
        <v>0</v>
      </c>
    </row>
    <row r="53" spans="1:14" x14ac:dyDescent="0.25">
      <c r="A53" s="338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>
        <f t="shared" si="0"/>
        <v>0</v>
      </c>
    </row>
    <row r="54" spans="1:14" x14ac:dyDescent="0.25">
      <c r="A54" s="338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>
        <f t="shared" si="0"/>
        <v>0</v>
      </c>
    </row>
    <row r="55" spans="1:14" x14ac:dyDescent="0.25">
      <c r="A55" s="338"/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>
        <f t="shared" si="0"/>
        <v>0</v>
      </c>
    </row>
    <row r="56" spans="1:14" x14ac:dyDescent="0.25">
      <c r="A56" s="338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>
        <f t="shared" si="0"/>
        <v>0</v>
      </c>
    </row>
    <row r="57" spans="1:14" x14ac:dyDescent="0.25">
      <c r="A57" s="338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>
        <f t="shared" si="0"/>
        <v>0</v>
      </c>
    </row>
    <row r="58" spans="1:14" x14ac:dyDescent="0.25">
      <c r="A58" s="338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>
        <f t="shared" si="0"/>
        <v>0</v>
      </c>
    </row>
    <row r="59" spans="1:14" x14ac:dyDescent="0.25">
      <c r="A59" s="338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>
        <f t="shared" si="0"/>
        <v>0</v>
      </c>
    </row>
    <row r="60" spans="1:14" x14ac:dyDescent="0.25">
      <c r="A60" s="338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>
        <f t="shared" si="0"/>
        <v>0</v>
      </c>
    </row>
    <row r="61" spans="1:14" x14ac:dyDescent="0.25">
      <c r="A61" s="338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>
        <f t="shared" si="0"/>
        <v>0</v>
      </c>
    </row>
    <row r="62" spans="1:14" x14ac:dyDescent="0.25">
      <c r="A62" s="338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>
        <f t="shared" si="0"/>
        <v>0</v>
      </c>
    </row>
    <row r="63" spans="1:14" x14ac:dyDescent="0.25">
      <c r="A63" s="338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>
        <f t="shared" si="0"/>
        <v>0</v>
      </c>
    </row>
    <row r="64" spans="1:14" x14ac:dyDescent="0.25">
      <c r="A64" s="328" t="s">
        <v>90</v>
      </c>
      <c r="B64" s="339">
        <f>SUM(B3:B63)</f>
        <v>362926.76</v>
      </c>
      <c r="C64" s="339">
        <f t="shared" ref="C64:M64" si="1">SUM(C3:C63)</f>
        <v>-71577.38</v>
      </c>
      <c r="D64" s="339">
        <f t="shared" si="1"/>
        <v>100581</v>
      </c>
      <c r="E64" s="339">
        <f t="shared" si="1"/>
        <v>19260</v>
      </c>
      <c r="F64" s="339">
        <f t="shared" si="1"/>
        <v>64797</v>
      </c>
      <c r="G64" s="339">
        <f t="shared" si="1"/>
        <v>116155</v>
      </c>
      <c r="H64" s="339">
        <f t="shared" si="1"/>
        <v>0</v>
      </c>
      <c r="I64" s="339">
        <f t="shared" si="1"/>
        <v>0</v>
      </c>
      <c r="J64" s="339">
        <f t="shared" si="1"/>
        <v>0</v>
      </c>
      <c r="K64" s="339">
        <f t="shared" si="1"/>
        <v>0</v>
      </c>
      <c r="L64" s="339">
        <f t="shared" si="1"/>
        <v>0</v>
      </c>
      <c r="M64" s="339">
        <f t="shared" si="1"/>
        <v>0</v>
      </c>
      <c r="N64" s="339">
        <f>SUM(N3:N63)</f>
        <v>592142.38</v>
      </c>
    </row>
    <row r="66" spans="14:14" x14ac:dyDescent="0.25">
      <c r="N66" s="341">
        <f>SUM(B64:M64)-N64</f>
        <v>0</v>
      </c>
    </row>
  </sheetData>
  <phoneticPr fontId="25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499984740745262"/>
    <pageSetUpPr fitToPage="1"/>
  </sheetPr>
  <dimension ref="A1:N79"/>
  <sheetViews>
    <sheetView workbookViewId="0">
      <selection activeCell="G9" sqref="G9"/>
    </sheetView>
  </sheetViews>
  <sheetFormatPr defaultRowHeight="14.4" x14ac:dyDescent="0.3"/>
  <cols>
    <col min="1" max="1" width="33.109375" bestFit="1" customWidth="1"/>
    <col min="2" max="6" width="12.88671875" bestFit="1" customWidth="1"/>
    <col min="7" max="7" width="13.109375" bestFit="1" customWidth="1"/>
    <col min="8" max="9" width="12.88671875" bestFit="1" customWidth="1"/>
    <col min="10" max="10" width="11.88671875" bestFit="1" customWidth="1"/>
    <col min="11" max="13" width="12.88671875" bestFit="1" customWidth="1"/>
    <col min="14" max="14" width="14.5546875" style="96" bestFit="1" customWidth="1"/>
  </cols>
  <sheetData>
    <row r="1" spans="1:14" x14ac:dyDescent="0.3">
      <c r="A1" s="155" t="s">
        <v>105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3"/>
    </row>
    <row r="2" spans="1:14" x14ac:dyDescent="0.3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4"/>
    </row>
    <row r="3" spans="1:14" x14ac:dyDescent="0.3">
      <c r="A3" s="367" t="s">
        <v>105</v>
      </c>
      <c r="B3" s="345">
        <v>194952.64</v>
      </c>
      <c r="C3" s="345">
        <v>266694.18</v>
      </c>
      <c r="D3" s="345">
        <v>273142.46000000002</v>
      </c>
      <c r="E3" s="345">
        <v>293320</v>
      </c>
      <c r="F3" s="345">
        <v>288492</v>
      </c>
      <c r="G3" s="345">
        <v>226023</v>
      </c>
      <c r="H3" s="345"/>
      <c r="I3" s="345"/>
      <c r="J3" s="345"/>
      <c r="K3" s="345"/>
      <c r="L3" s="345"/>
      <c r="M3" s="345"/>
      <c r="N3" s="186">
        <f t="shared" ref="N3:N76" si="0">SUM(B3:M3)</f>
        <v>1542624.28</v>
      </c>
    </row>
    <row r="4" spans="1:14" x14ac:dyDescent="0.3">
      <c r="A4" s="161" t="s">
        <v>162</v>
      </c>
      <c r="B4" s="186">
        <v>27063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92">
        <f t="shared" si="0"/>
        <v>27063</v>
      </c>
    </row>
    <row r="5" spans="1:14" x14ac:dyDescent="0.3">
      <c r="A5" s="161" t="s">
        <v>170</v>
      </c>
      <c r="B5" s="186">
        <v>7019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92">
        <f t="shared" si="0"/>
        <v>7019</v>
      </c>
    </row>
    <row r="6" spans="1:14" x14ac:dyDescent="0.3">
      <c r="A6" s="165" t="s">
        <v>171</v>
      </c>
      <c r="B6" s="186">
        <v>3732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92">
        <f t="shared" si="0"/>
        <v>3732</v>
      </c>
    </row>
    <row r="7" spans="1:14" x14ac:dyDescent="0.3">
      <c r="A7" s="161" t="s">
        <v>206</v>
      </c>
      <c r="B7" s="186"/>
      <c r="C7" s="186">
        <v>918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92">
        <f t="shared" si="0"/>
        <v>918</v>
      </c>
    </row>
    <row r="8" spans="1:14" x14ac:dyDescent="0.3">
      <c r="A8" s="161" t="s">
        <v>207</v>
      </c>
      <c r="B8" s="186"/>
      <c r="C8" s="186">
        <v>6179</v>
      </c>
      <c r="D8" s="186">
        <f>4920+1062</f>
        <v>5982</v>
      </c>
      <c r="E8" s="186"/>
      <c r="F8" s="186"/>
      <c r="G8" s="186">
        <v>10040</v>
      </c>
      <c r="H8" s="186"/>
      <c r="I8" s="186"/>
      <c r="J8" s="186"/>
      <c r="K8" s="186"/>
      <c r="L8" s="186"/>
      <c r="M8" s="186"/>
      <c r="N8" s="192">
        <f t="shared" si="0"/>
        <v>22201</v>
      </c>
    </row>
    <row r="9" spans="1:14" x14ac:dyDescent="0.3">
      <c r="A9" s="161" t="s">
        <v>214</v>
      </c>
      <c r="B9" s="186"/>
      <c r="C9" s="186">
        <v>3548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92">
        <f t="shared" si="0"/>
        <v>3548</v>
      </c>
    </row>
    <row r="10" spans="1:14" x14ac:dyDescent="0.3">
      <c r="A10" s="161" t="s">
        <v>215</v>
      </c>
      <c r="B10" s="186"/>
      <c r="C10" s="186">
        <v>2370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92">
        <f t="shared" si="0"/>
        <v>2370</v>
      </c>
    </row>
    <row r="11" spans="1:14" x14ac:dyDescent="0.3">
      <c r="A11" s="161" t="s">
        <v>227</v>
      </c>
      <c r="B11" s="186"/>
      <c r="C11" s="186"/>
      <c r="D11" s="186">
        <v>500</v>
      </c>
      <c r="E11" s="186">
        <v>360</v>
      </c>
      <c r="F11" s="186">
        <v>300</v>
      </c>
      <c r="G11" s="186"/>
      <c r="H11" s="186"/>
      <c r="I11" s="186"/>
      <c r="J11" s="186"/>
      <c r="K11" s="186"/>
      <c r="L11" s="186"/>
      <c r="M11" s="186"/>
      <c r="N11" s="192">
        <f t="shared" si="0"/>
        <v>1160</v>
      </c>
    </row>
    <row r="12" spans="1:14" x14ac:dyDescent="0.3">
      <c r="A12" s="161" t="s">
        <v>258</v>
      </c>
      <c r="B12" s="186"/>
      <c r="C12" s="186"/>
      <c r="D12" s="186"/>
      <c r="E12" s="186"/>
      <c r="F12" s="186">
        <v>7201</v>
      </c>
      <c r="G12" s="186"/>
      <c r="H12" s="186"/>
      <c r="I12" s="186"/>
      <c r="J12" s="186"/>
      <c r="K12" s="186"/>
      <c r="L12" s="186"/>
      <c r="M12" s="186"/>
      <c r="N12" s="192">
        <f t="shared" si="0"/>
        <v>7201</v>
      </c>
    </row>
    <row r="13" spans="1:14" x14ac:dyDescent="0.3">
      <c r="A13" s="161" t="s">
        <v>259</v>
      </c>
      <c r="B13" s="186"/>
      <c r="C13" s="186"/>
      <c r="D13" s="186"/>
      <c r="E13" s="186"/>
      <c r="F13" s="186">
        <v>440</v>
      </c>
      <c r="G13" s="186"/>
      <c r="H13" s="186"/>
      <c r="I13" s="186"/>
      <c r="J13" s="186"/>
      <c r="K13" s="186"/>
      <c r="L13" s="186"/>
      <c r="M13" s="186"/>
      <c r="N13" s="192">
        <f t="shared" si="0"/>
        <v>440</v>
      </c>
    </row>
    <row r="14" spans="1:14" x14ac:dyDescent="0.3">
      <c r="A14" s="161" t="s">
        <v>271</v>
      </c>
      <c r="B14" s="152"/>
      <c r="C14" s="152"/>
      <c r="D14" s="186"/>
      <c r="E14" s="152"/>
      <c r="F14" s="152">
        <v>270</v>
      </c>
      <c r="G14" s="152"/>
      <c r="H14" s="152"/>
      <c r="I14" s="152"/>
      <c r="J14" s="152"/>
      <c r="K14" s="152"/>
      <c r="L14" s="152"/>
      <c r="M14" s="152"/>
      <c r="N14" s="180">
        <f t="shared" si="0"/>
        <v>270</v>
      </c>
    </row>
    <row r="15" spans="1:14" x14ac:dyDescent="0.3">
      <c r="A15" s="161" t="s">
        <v>272</v>
      </c>
      <c r="B15" s="152"/>
      <c r="C15" s="152"/>
      <c r="D15" s="186"/>
      <c r="E15" s="152"/>
      <c r="F15" s="152">
        <v>1450</v>
      </c>
      <c r="G15" s="152"/>
      <c r="H15" s="152"/>
      <c r="I15" s="152"/>
      <c r="J15" s="152"/>
      <c r="K15" s="152"/>
      <c r="L15" s="152"/>
      <c r="M15" s="152"/>
      <c r="N15" s="180">
        <f t="shared" si="0"/>
        <v>1450</v>
      </c>
    </row>
    <row r="16" spans="1:14" x14ac:dyDescent="0.3">
      <c r="A16" s="161" t="s">
        <v>273</v>
      </c>
      <c r="B16" s="152"/>
      <c r="C16" s="152"/>
      <c r="D16" s="186"/>
      <c r="E16" s="152"/>
      <c r="F16" s="152">
        <v>1000</v>
      </c>
      <c r="G16" s="152"/>
      <c r="H16" s="152"/>
      <c r="I16" s="152"/>
      <c r="J16" s="152"/>
      <c r="K16" s="152"/>
      <c r="L16" s="152"/>
      <c r="M16" s="152"/>
      <c r="N16" s="180">
        <f t="shared" si="0"/>
        <v>1000</v>
      </c>
    </row>
    <row r="17" spans="1:14" x14ac:dyDescent="0.3">
      <c r="A17" s="407" t="s">
        <v>290</v>
      </c>
      <c r="B17" s="152"/>
      <c r="C17" s="152"/>
      <c r="D17" s="186"/>
      <c r="E17" s="152">
        <v>200</v>
      </c>
      <c r="F17" s="152"/>
      <c r="G17" s="152"/>
      <c r="H17" s="152"/>
      <c r="I17" s="152"/>
      <c r="J17" s="152"/>
      <c r="K17" s="152"/>
      <c r="L17" s="152"/>
      <c r="M17" s="152"/>
      <c r="N17" s="180">
        <f t="shared" si="0"/>
        <v>200</v>
      </c>
    </row>
    <row r="18" spans="1:14" x14ac:dyDescent="0.3">
      <c r="A18" s="161" t="s">
        <v>291</v>
      </c>
      <c r="B18" s="152"/>
      <c r="C18" s="152"/>
      <c r="D18" s="186"/>
      <c r="E18" s="152">
        <v>6945</v>
      </c>
      <c r="F18" s="152"/>
      <c r="G18" s="152"/>
      <c r="H18" s="152"/>
      <c r="I18" s="152"/>
      <c r="J18" s="152"/>
      <c r="K18" s="152"/>
      <c r="L18" s="152"/>
      <c r="M18" s="152"/>
      <c r="N18" s="180">
        <f t="shared" si="0"/>
        <v>6945</v>
      </c>
    </row>
    <row r="19" spans="1:14" x14ac:dyDescent="0.3">
      <c r="A19" s="161" t="s">
        <v>292</v>
      </c>
      <c r="B19" s="152"/>
      <c r="C19" s="152"/>
      <c r="D19" s="186"/>
      <c r="E19" s="152">
        <v>1600</v>
      </c>
      <c r="F19" s="152"/>
      <c r="G19" s="152"/>
      <c r="H19" s="152"/>
      <c r="I19" s="152"/>
      <c r="J19" s="152"/>
      <c r="K19" s="152"/>
      <c r="L19" s="152"/>
      <c r="M19" s="152"/>
      <c r="N19" s="180">
        <f t="shared" si="0"/>
        <v>1600</v>
      </c>
    </row>
    <row r="20" spans="1:14" x14ac:dyDescent="0.3">
      <c r="A20" s="16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80">
        <f t="shared" si="0"/>
        <v>0</v>
      </c>
    </row>
    <row r="21" spans="1:14" x14ac:dyDescent="0.3">
      <c r="A21" s="16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80">
        <f t="shared" si="0"/>
        <v>0</v>
      </c>
    </row>
    <row r="22" spans="1:14" x14ac:dyDescent="0.3">
      <c r="A22" s="16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80">
        <f t="shared" si="0"/>
        <v>0</v>
      </c>
    </row>
    <row r="23" spans="1:14" x14ac:dyDescent="0.3">
      <c r="A23" s="161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80">
        <f t="shared" si="0"/>
        <v>0</v>
      </c>
    </row>
    <row r="24" spans="1:14" x14ac:dyDescent="0.3">
      <c r="A24" s="16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80">
        <f t="shared" si="0"/>
        <v>0</v>
      </c>
    </row>
    <row r="25" spans="1:14" x14ac:dyDescent="0.3">
      <c r="A25" s="161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80">
        <f t="shared" si="0"/>
        <v>0</v>
      </c>
    </row>
    <row r="26" spans="1:14" x14ac:dyDescent="0.3">
      <c r="A26" s="161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80">
        <f t="shared" si="0"/>
        <v>0</v>
      </c>
    </row>
    <row r="27" spans="1:14" x14ac:dyDescent="0.3">
      <c r="A27" s="16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80">
        <f t="shared" si="0"/>
        <v>0</v>
      </c>
    </row>
    <row r="28" spans="1:14" x14ac:dyDescent="0.3">
      <c r="A28" s="16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80">
        <f t="shared" si="0"/>
        <v>0</v>
      </c>
    </row>
    <row r="29" spans="1:14" x14ac:dyDescent="0.3">
      <c r="A29" s="16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80">
        <f t="shared" si="0"/>
        <v>0</v>
      </c>
    </row>
    <row r="30" spans="1:14" x14ac:dyDescent="0.3">
      <c r="A30" s="349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80">
        <f t="shared" si="0"/>
        <v>0</v>
      </c>
    </row>
    <row r="31" spans="1:14" x14ac:dyDescent="0.3">
      <c r="A31" s="349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80">
        <f t="shared" si="0"/>
        <v>0</v>
      </c>
    </row>
    <row r="32" spans="1:14" x14ac:dyDescent="0.3">
      <c r="A32" s="349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80">
        <f t="shared" si="0"/>
        <v>0</v>
      </c>
    </row>
    <row r="33" spans="1:14" x14ac:dyDescent="0.3">
      <c r="A33" s="3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80">
        <f t="shared" si="0"/>
        <v>0</v>
      </c>
    </row>
    <row r="34" spans="1:14" x14ac:dyDescent="0.3">
      <c r="A34" s="3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80">
        <f t="shared" si="0"/>
        <v>0</v>
      </c>
    </row>
    <row r="35" spans="1:14" x14ac:dyDescent="0.3">
      <c r="A35" s="3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80">
        <f t="shared" si="0"/>
        <v>0</v>
      </c>
    </row>
    <row r="36" spans="1:14" x14ac:dyDescent="0.3">
      <c r="A36" s="3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80">
        <f t="shared" si="0"/>
        <v>0</v>
      </c>
    </row>
    <row r="37" spans="1:14" x14ac:dyDescent="0.3">
      <c r="A37" s="3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80">
        <f t="shared" si="0"/>
        <v>0</v>
      </c>
    </row>
    <row r="38" spans="1:14" x14ac:dyDescent="0.3">
      <c r="A38" s="3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80">
        <f t="shared" si="0"/>
        <v>0</v>
      </c>
    </row>
    <row r="39" spans="1:14" x14ac:dyDescent="0.3">
      <c r="A39" s="3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80">
        <f t="shared" si="0"/>
        <v>0</v>
      </c>
    </row>
    <row r="40" spans="1:14" x14ac:dyDescent="0.3">
      <c r="A40" s="3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80">
        <f t="shared" si="0"/>
        <v>0</v>
      </c>
    </row>
    <row r="41" spans="1:14" x14ac:dyDescent="0.3">
      <c r="A41" s="3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80">
        <f t="shared" si="0"/>
        <v>0</v>
      </c>
    </row>
    <row r="42" spans="1:14" x14ac:dyDescent="0.3">
      <c r="A42" s="3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80">
        <f t="shared" si="0"/>
        <v>0</v>
      </c>
    </row>
    <row r="43" spans="1:14" x14ac:dyDescent="0.3">
      <c r="A43" s="3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80">
        <f t="shared" si="0"/>
        <v>0</v>
      </c>
    </row>
    <row r="44" spans="1:14" x14ac:dyDescent="0.3">
      <c r="A44" s="3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80">
        <f t="shared" si="0"/>
        <v>0</v>
      </c>
    </row>
    <row r="45" spans="1:14" x14ac:dyDescent="0.3">
      <c r="A45" s="3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80">
        <f t="shared" si="0"/>
        <v>0</v>
      </c>
    </row>
    <row r="46" spans="1:14" x14ac:dyDescent="0.3">
      <c r="A46" s="3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80">
        <f t="shared" si="0"/>
        <v>0</v>
      </c>
    </row>
    <row r="47" spans="1:14" x14ac:dyDescent="0.3">
      <c r="A47" s="3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80">
        <f t="shared" si="0"/>
        <v>0</v>
      </c>
    </row>
    <row r="48" spans="1:14" x14ac:dyDescent="0.3">
      <c r="A48" s="3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80">
        <f t="shared" si="0"/>
        <v>0</v>
      </c>
    </row>
    <row r="49" spans="1:14" x14ac:dyDescent="0.3">
      <c r="A49" s="3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80">
        <f t="shared" si="0"/>
        <v>0</v>
      </c>
    </row>
    <row r="50" spans="1:14" x14ac:dyDescent="0.3">
      <c r="A50" s="3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80">
        <f t="shared" si="0"/>
        <v>0</v>
      </c>
    </row>
    <row r="51" spans="1:14" x14ac:dyDescent="0.3">
      <c r="A51" s="3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80">
        <f t="shared" si="0"/>
        <v>0</v>
      </c>
    </row>
    <row r="52" spans="1:14" x14ac:dyDescent="0.3">
      <c r="A52" s="3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0">
        <f t="shared" si="0"/>
        <v>0</v>
      </c>
    </row>
    <row r="53" spans="1:14" x14ac:dyDescent="0.3">
      <c r="A53" s="3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80">
        <f t="shared" si="0"/>
        <v>0</v>
      </c>
    </row>
    <row r="54" spans="1:14" x14ac:dyDescent="0.3">
      <c r="A54" s="3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80">
        <f t="shared" si="0"/>
        <v>0</v>
      </c>
    </row>
    <row r="55" spans="1:14" x14ac:dyDescent="0.3">
      <c r="A55" s="3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80">
        <f t="shared" si="0"/>
        <v>0</v>
      </c>
    </row>
    <row r="56" spans="1:14" x14ac:dyDescent="0.3">
      <c r="A56" s="3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0">
        <f t="shared" si="0"/>
        <v>0</v>
      </c>
    </row>
    <row r="57" spans="1:14" x14ac:dyDescent="0.3">
      <c r="A57" s="3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0">
        <f t="shared" si="0"/>
        <v>0</v>
      </c>
    </row>
    <row r="58" spans="1:14" x14ac:dyDescent="0.3">
      <c r="A58" s="3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0">
        <f t="shared" si="0"/>
        <v>0</v>
      </c>
    </row>
    <row r="59" spans="1:14" x14ac:dyDescent="0.3">
      <c r="A59" s="3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0">
        <f t="shared" si="0"/>
        <v>0</v>
      </c>
    </row>
    <row r="60" spans="1:14" x14ac:dyDescent="0.3">
      <c r="A60" s="352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80">
        <f t="shared" si="0"/>
        <v>0</v>
      </c>
    </row>
    <row r="61" spans="1:14" x14ac:dyDescent="0.3">
      <c r="A61" s="3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80">
        <f t="shared" si="0"/>
        <v>0</v>
      </c>
    </row>
    <row r="62" spans="1:14" x14ac:dyDescent="0.3">
      <c r="A62" s="3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80">
        <f t="shared" si="0"/>
        <v>0</v>
      </c>
    </row>
    <row r="63" spans="1:14" x14ac:dyDescent="0.3">
      <c r="A63" s="3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80">
        <f t="shared" si="0"/>
        <v>0</v>
      </c>
    </row>
    <row r="64" spans="1:14" x14ac:dyDescent="0.3">
      <c r="A64" s="352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80">
        <f t="shared" si="0"/>
        <v>0</v>
      </c>
    </row>
    <row r="65" spans="1:14" x14ac:dyDescent="0.3">
      <c r="A65" s="352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80">
        <f t="shared" si="0"/>
        <v>0</v>
      </c>
    </row>
    <row r="66" spans="1:14" x14ac:dyDescent="0.3">
      <c r="A66" s="3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80">
        <f t="shared" ref="N66:N70" si="1">SUM(B66:M66)</f>
        <v>0</v>
      </c>
    </row>
    <row r="67" spans="1:14" x14ac:dyDescent="0.3">
      <c r="A67" s="3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80">
        <f t="shared" si="1"/>
        <v>0</v>
      </c>
    </row>
    <row r="68" spans="1:14" x14ac:dyDescent="0.3">
      <c r="A68" s="3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80">
        <f t="shared" si="1"/>
        <v>0</v>
      </c>
    </row>
    <row r="69" spans="1:14" x14ac:dyDescent="0.3">
      <c r="A69" s="3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80">
        <f t="shared" si="1"/>
        <v>0</v>
      </c>
    </row>
    <row r="70" spans="1:14" x14ac:dyDescent="0.3">
      <c r="A70" s="3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80">
        <f t="shared" si="1"/>
        <v>0</v>
      </c>
    </row>
    <row r="71" spans="1:14" x14ac:dyDescent="0.3">
      <c r="A71" s="3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80">
        <f t="shared" si="0"/>
        <v>0</v>
      </c>
    </row>
    <row r="72" spans="1:14" x14ac:dyDescent="0.3">
      <c r="A72" s="3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80">
        <f t="shared" si="0"/>
        <v>0</v>
      </c>
    </row>
    <row r="73" spans="1:14" x14ac:dyDescent="0.3">
      <c r="A73" s="3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0">
        <f t="shared" si="0"/>
        <v>0</v>
      </c>
    </row>
    <row r="74" spans="1:14" x14ac:dyDescent="0.3">
      <c r="A74" s="3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0">
        <f t="shared" si="0"/>
        <v>0</v>
      </c>
    </row>
    <row r="75" spans="1:14" x14ac:dyDescent="0.3">
      <c r="A75" s="3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0">
        <f t="shared" si="0"/>
        <v>0</v>
      </c>
    </row>
    <row r="76" spans="1:14" x14ac:dyDescent="0.3">
      <c r="A76" s="3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0">
        <f t="shared" si="0"/>
        <v>0</v>
      </c>
    </row>
    <row r="77" spans="1:14" x14ac:dyDescent="0.3">
      <c r="A77" s="155" t="s">
        <v>90</v>
      </c>
      <c r="B77" s="166">
        <f>SUM(B3:B76)</f>
        <v>232766.64</v>
      </c>
      <c r="C77" s="166">
        <f>SUM(C3:C76)</f>
        <v>279709.18</v>
      </c>
      <c r="D77" s="166">
        <f t="shared" ref="D77:I77" si="2">SUM(D3:D76)</f>
        <v>279624.46000000002</v>
      </c>
      <c r="E77" s="166">
        <f t="shared" si="2"/>
        <v>302425</v>
      </c>
      <c r="F77" s="166">
        <f t="shared" si="2"/>
        <v>299153</v>
      </c>
      <c r="G77" s="166">
        <f t="shared" si="2"/>
        <v>236063</v>
      </c>
      <c r="H77" s="166">
        <f>SUM(H3:H76)</f>
        <v>0</v>
      </c>
      <c r="I77" s="166">
        <f t="shared" si="2"/>
        <v>0</v>
      </c>
      <c r="J77" s="166">
        <f>SUM(J3:J76)</f>
        <v>0</v>
      </c>
      <c r="K77" s="166">
        <f>SUM(K3:K76)</f>
        <v>0</v>
      </c>
      <c r="L77" s="166">
        <f>SUM(L3:L76)</f>
        <v>0</v>
      </c>
      <c r="M77" s="166">
        <f>SUM(M3:M76)</f>
        <v>0</v>
      </c>
      <c r="N77" s="185">
        <f>SUM(N3:N76)</f>
        <v>1629741.28</v>
      </c>
    </row>
    <row r="79" spans="1:14" x14ac:dyDescent="0.3">
      <c r="N79" s="96">
        <f>SUM(B77:M77)-N77</f>
        <v>0</v>
      </c>
    </row>
  </sheetData>
  <phoneticPr fontId="25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4.9989318521683403E-2"/>
    <pageSetUpPr fitToPage="1"/>
  </sheetPr>
  <dimension ref="A1:N49"/>
  <sheetViews>
    <sheetView workbookViewId="0">
      <selection activeCell="G5" sqref="G5"/>
    </sheetView>
  </sheetViews>
  <sheetFormatPr defaultRowHeight="14.4" x14ac:dyDescent="0.3"/>
  <cols>
    <col min="1" max="1" width="29.44140625" bestFit="1" customWidth="1"/>
    <col min="2" max="2" width="11.6640625" customWidth="1"/>
    <col min="3" max="3" width="13.6640625" customWidth="1"/>
    <col min="5" max="5" width="16.109375" customWidth="1"/>
    <col min="6" max="6" width="10.33203125" bestFit="1" customWidth="1"/>
    <col min="7" max="7" width="9.44140625" bestFit="1" customWidth="1"/>
    <col min="14" max="14" width="12.88671875" bestFit="1" customWidth="1"/>
  </cols>
  <sheetData>
    <row r="1" spans="1:14" x14ac:dyDescent="0.3">
      <c r="A1" s="155" t="s">
        <v>124</v>
      </c>
      <c r="C1" s="155"/>
      <c r="D1" s="135" t="str">
        <f>'ВСЕ затраты'!B1</f>
        <v>2024-2025гг.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3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3">
      <c r="A3" s="148" t="s">
        <v>201</v>
      </c>
      <c r="B3" s="190"/>
      <c r="C3" s="190">
        <f>13396+13496+13596</f>
        <v>40488</v>
      </c>
      <c r="D3" s="190"/>
      <c r="E3" s="190">
        <v>13696</v>
      </c>
      <c r="F3" s="190"/>
      <c r="G3" s="190">
        <v>13796</v>
      </c>
      <c r="H3" s="190"/>
      <c r="I3" s="190"/>
      <c r="J3" s="190"/>
      <c r="K3" s="190"/>
      <c r="L3" s="190"/>
      <c r="M3" s="190"/>
      <c r="N3" s="343">
        <f t="shared" ref="N3:N46" si="0">SUM(B3:M3)</f>
        <v>67980</v>
      </c>
    </row>
    <row r="4" spans="1:14" x14ac:dyDescent="0.3">
      <c r="A4" s="161" t="s">
        <v>203</v>
      </c>
      <c r="B4" s="190"/>
      <c r="C4" s="190">
        <v>1089.5999999999999</v>
      </c>
      <c r="D4" s="190"/>
      <c r="E4" s="190"/>
      <c r="F4" s="190">
        <v>8306</v>
      </c>
      <c r="G4" s="190">
        <v>8472</v>
      </c>
      <c r="H4" s="190"/>
      <c r="I4" s="190"/>
      <c r="J4" s="190"/>
      <c r="K4" s="190"/>
      <c r="L4" s="190"/>
      <c r="M4" s="190"/>
      <c r="N4" s="343">
        <f t="shared" si="0"/>
        <v>17867.599999999999</v>
      </c>
    </row>
    <row r="5" spans="1:14" x14ac:dyDescent="0.3">
      <c r="A5" s="161" t="s">
        <v>172</v>
      </c>
      <c r="B5" s="190">
        <f>2411.2+1205.6+2411.2</f>
        <v>6028</v>
      </c>
      <c r="C5" s="190">
        <f>2423.2+1817.4+1211.6+2431.2</f>
        <v>7883.4000000000005</v>
      </c>
      <c r="D5" s="190">
        <f>2431.2+2800.05</f>
        <v>5231.25</v>
      </c>
      <c r="E5" s="190">
        <v>9804</v>
      </c>
      <c r="F5" s="190">
        <v>6152</v>
      </c>
      <c r="G5" s="190">
        <v>4950</v>
      </c>
      <c r="H5" s="190"/>
      <c r="I5" s="190"/>
      <c r="J5" s="190"/>
      <c r="K5" s="190"/>
      <c r="L5" s="190"/>
      <c r="M5" s="190"/>
      <c r="N5" s="343">
        <f t="shared" si="0"/>
        <v>40048.65</v>
      </c>
    </row>
    <row r="6" spans="1:14" x14ac:dyDescent="0.3">
      <c r="A6" s="161" t="s">
        <v>173</v>
      </c>
      <c r="B6" s="178">
        <v>810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343">
        <f t="shared" si="0"/>
        <v>810</v>
      </c>
    </row>
    <row r="7" spans="1:14" x14ac:dyDescent="0.3">
      <c r="A7" s="142" t="s">
        <v>158</v>
      </c>
      <c r="B7" s="190">
        <f>18000+22400+420+110+1700+2000+700+950+1000+1000+250</f>
        <v>48530</v>
      </c>
      <c r="C7" s="191"/>
      <c r="D7" s="344"/>
      <c r="E7" s="344"/>
      <c r="F7" s="344"/>
      <c r="G7" s="344"/>
      <c r="H7" s="344"/>
      <c r="I7" s="344"/>
      <c r="J7" s="191"/>
      <c r="K7" s="191"/>
      <c r="L7" s="191"/>
      <c r="M7" s="191"/>
      <c r="N7" s="343">
        <f>SUM(B7:M7)</f>
        <v>48530</v>
      </c>
    </row>
    <row r="8" spans="1:14" x14ac:dyDescent="0.3">
      <c r="A8" s="161" t="s">
        <v>189</v>
      </c>
      <c r="B8" s="178"/>
      <c r="C8" s="178">
        <f>400+400+400</f>
        <v>1200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 t="shared" si="0"/>
        <v>1200</v>
      </c>
    </row>
    <row r="9" spans="1:14" x14ac:dyDescent="0.3">
      <c r="A9" s="165" t="s">
        <v>191</v>
      </c>
      <c r="B9" s="178"/>
      <c r="C9" s="178">
        <f>9760+16900</f>
        <v>26660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343">
        <f t="shared" si="0"/>
        <v>26660</v>
      </c>
    </row>
    <row r="10" spans="1:14" x14ac:dyDescent="0.3">
      <c r="A10" s="165" t="s">
        <v>202</v>
      </c>
      <c r="B10" s="178"/>
      <c r="C10" s="178">
        <v>150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343">
        <f t="shared" si="0"/>
        <v>150</v>
      </c>
    </row>
    <row r="11" spans="1:14" x14ac:dyDescent="0.3">
      <c r="A11" s="165" t="s">
        <v>208</v>
      </c>
      <c r="B11" s="178"/>
      <c r="C11" s="178">
        <v>884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343">
        <f t="shared" si="0"/>
        <v>884</v>
      </c>
    </row>
    <row r="12" spans="1:14" x14ac:dyDescent="0.3">
      <c r="A12" s="165" t="s">
        <v>217</v>
      </c>
      <c r="B12" s="178"/>
      <c r="C12" s="178">
        <v>2100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343">
        <f t="shared" si="0"/>
        <v>2100</v>
      </c>
    </row>
    <row r="13" spans="1:14" x14ac:dyDescent="0.3">
      <c r="A13" s="165" t="s">
        <v>197</v>
      </c>
      <c r="B13" s="178"/>
      <c r="C13" s="178">
        <v>1690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343">
        <f t="shared" si="0"/>
        <v>1690</v>
      </c>
    </row>
    <row r="14" spans="1:14" x14ac:dyDescent="0.3">
      <c r="A14" s="165" t="s">
        <v>216</v>
      </c>
      <c r="B14" s="178"/>
      <c r="C14" s="178">
        <v>1200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343">
        <f t="shared" si="0"/>
        <v>1200</v>
      </c>
    </row>
    <row r="15" spans="1:14" x14ac:dyDescent="0.3">
      <c r="A15" s="165" t="s">
        <v>220</v>
      </c>
      <c r="B15" s="178"/>
      <c r="C15" s="178"/>
      <c r="D15" s="178">
        <v>2905.69</v>
      </c>
      <c r="E15" s="178"/>
      <c r="F15" s="178"/>
      <c r="G15" s="178">
        <v>6403</v>
      </c>
      <c r="H15" s="178"/>
      <c r="I15" s="178"/>
      <c r="J15" s="178"/>
      <c r="K15" s="178"/>
      <c r="L15" s="178"/>
      <c r="M15" s="178"/>
      <c r="N15" s="343">
        <f t="shared" si="0"/>
        <v>9308.69</v>
      </c>
    </row>
    <row r="16" spans="1:14" x14ac:dyDescent="0.3">
      <c r="A16" s="346" t="s">
        <v>224</v>
      </c>
      <c r="B16" s="178"/>
      <c r="C16" s="178"/>
      <c r="D16" s="178">
        <v>3215</v>
      </c>
      <c r="E16" s="178"/>
      <c r="F16" s="178"/>
      <c r="G16" s="178"/>
      <c r="H16" s="178"/>
      <c r="I16" s="178"/>
      <c r="J16" s="178"/>
      <c r="K16" s="178"/>
      <c r="L16" s="178"/>
      <c r="M16" s="178"/>
      <c r="N16" s="343">
        <f t="shared" si="0"/>
        <v>3215</v>
      </c>
    </row>
    <row r="17" spans="1:14" x14ac:dyDescent="0.3">
      <c r="A17" s="165" t="s">
        <v>228</v>
      </c>
      <c r="B17" s="178"/>
      <c r="C17" s="178"/>
      <c r="D17" s="178">
        <v>2010</v>
      </c>
      <c r="E17" s="178"/>
      <c r="F17" s="178"/>
      <c r="G17" s="178"/>
      <c r="H17" s="178"/>
      <c r="I17" s="178"/>
      <c r="J17" s="178"/>
      <c r="K17" s="178"/>
      <c r="L17" s="178"/>
      <c r="M17" s="178"/>
      <c r="N17" s="343">
        <f t="shared" si="0"/>
        <v>2010</v>
      </c>
    </row>
    <row r="18" spans="1:14" x14ac:dyDescent="0.3">
      <c r="A18" s="165" t="s">
        <v>229</v>
      </c>
      <c r="B18" s="178"/>
      <c r="C18" s="178"/>
      <c r="D18" s="178">
        <v>675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343">
        <f t="shared" si="0"/>
        <v>675</v>
      </c>
    </row>
    <row r="19" spans="1:14" x14ac:dyDescent="0.3">
      <c r="A19" s="165" t="s">
        <v>228</v>
      </c>
      <c r="B19" s="178"/>
      <c r="C19" s="178"/>
      <c r="D19" s="178">
        <v>670</v>
      </c>
      <c r="E19" s="178"/>
      <c r="F19" s="178"/>
      <c r="G19" s="178"/>
      <c r="H19" s="178"/>
      <c r="I19" s="178"/>
      <c r="J19" s="178"/>
      <c r="K19" s="178"/>
      <c r="L19" s="178"/>
      <c r="M19" s="178"/>
      <c r="N19" s="343">
        <f t="shared" si="0"/>
        <v>670</v>
      </c>
    </row>
    <row r="20" spans="1:14" x14ac:dyDescent="0.3">
      <c r="A20" s="165" t="s">
        <v>250</v>
      </c>
      <c r="B20" s="178"/>
      <c r="C20" s="178"/>
      <c r="D20" s="178"/>
      <c r="E20" s="178"/>
      <c r="F20" s="178">
        <v>37650</v>
      </c>
      <c r="G20" s="178"/>
      <c r="H20" s="178"/>
      <c r="I20" s="178"/>
      <c r="J20" s="178"/>
      <c r="K20" s="178"/>
      <c r="L20" s="178"/>
      <c r="M20" s="178"/>
      <c r="N20" s="343">
        <f t="shared" si="0"/>
        <v>37650</v>
      </c>
    </row>
    <row r="21" spans="1:14" x14ac:dyDescent="0.3">
      <c r="A21" s="165" t="s">
        <v>252</v>
      </c>
      <c r="B21" s="178"/>
      <c r="C21" s="178"/>
      <c r="D21" s="178"/>
      <c r="E21" s="178">
        <v>22000</v>
      </c>
      <c r="F21" s="178">
        <v>22000</v>
      </c>
      <c r="G21" s="178"/>
      <c r="H21" s="178"/>
      <c r="I21" s="178"/>
      <c r="J21" s="178"/>
      <c r="K21" s="178"/>
      <c r="L21" s="178"/>
      <c r="M21" s="178"/>
      <c r="N21" s="343">
        <f t="shared" si="0"/>
        <v>44000</v>
      </c>
    </row>
    <row r="22" spans="1:14" x14ac:dyDescent="0.3">
      <c r="A22" s="165" t="s">
        <v>256</v>
      </c>
      <c r="B22" s="178"/>
      <c r="C22" s="178"/>
      <c r="D22" s="178"/>
      <c r="E22" s="178"/>
      <c r="F22" s="178">
        <v>808</v>
      </c>
      <c r="G22" s="178"/>
      <c r="H22" s="178"/>
      <c r="I22" s="178"/>
      <c r="J22" s="178"/>
      <c r="K22" s="178"/>
      <c r="L22" s="178"/>
      <c r="M22" s="178"/>
      <c r="N22" s="343">
        <f t="shared" si="0"/>
        <v>808</v>
      </c>
    </row>
    <row r="23" spans="1:14" x14ac:dyDescent="0.3">
      <c r="A23" s="165" t="s">
        <v>257</v>
      </c>
      <c r="B23" s="178"/>
      <c r="C23" s="178"/>
      <c r="D23" s="178"/>
      <c r="E23" s="178"/>
      <c r="F23" s="178">
        <v>600</v>
      </c>
      <c r="G23" s="178"/>
      <c r="H23" s="178"/>
      <c r="I23" s="178"/>
      <c r="J23" s="178"/>
      <c r="K23" s="178"/>
      <c r="L23" s="178"/>
      <c r="M23" s="178"/>
      <c r="N23" s="343">
        <f t="shared" si="0"/>
        <v>600</v>
      </c>
    </row>
    <row r="24" spans="1:14" x14ac:dyDescent="0.3">
      <c r="A24" s="165" t="s">
        <v>274</v>
      </c>
      <c r="B24" s="178"/>
      <c r="C24" s="178"/>
      <c r="D24" s="178"/>
      <c r="E24" s="178"/>
      <c r="F24" s="178">
        <v>2828</v>
      </c>
      <c r="G24" s="178"/>
      <c r="H24" s="178"/>
      <c r="I24" s="178"/>
      <c r="J24" s="178"/>
      <c r="K24" s="178"/>
      <c r="L24" s="178"/>
      <c r="M24" s="178"/>
      <c r="N24" s="343">
        <f t="shared" si="0"/>
        <v>2828</v>
      </c>
    </row>
    <row r="25" spans="1:14" x14ac:dyDescent="0.3">
      <c r="A25" s="165" t="s">
        <v>275</v>
      </c>
      <c r="B25" s="178"/>
      <c r="C25" s="178"/>
      <c r="D25" s="178"/>
      <c r="E25" s="178"/>
      <c r="F25" s="178">
        <v>400</v>
      </c>
      <c r="G25" s="178"/>
      <c r="H25" s="178"/>
      <c r="I25" s="178"/>
      <c r="J25" s="178"/>
      <c r="K25" s="178"/>
      <c r="L25" s="178"/>
      <c r="M25" s="178"/>
      <c r="N25" s="343">
        <f t="shared" si="0"/>
        <v>400</v>
      </c>
    </row>
    <row r="26" spans="1:14" x14ac:dyDescent="0.3">
      <c r="A26" s="165" t="s">
        <v>276</v>
      </c>
      <c r="B26" s="178"/>
      <c r="C26" s="178"/>
      <c r="D26" s="178"/>
      <c r="E26" s="178"/>
      <c r="F26" s="178">
        <v>3600</v>
      </c>
      <c r="G26" s="178"/>
      <c r="H26" s="178"/>
      <c r="I26" s="178"/>
      <c r="J26" s="178"/>
      <c r="K26" s="178"/>
      <c r="L26" s="178"/>
      <c r="M26" s="178"/>
      <c r="N26" s="343">
        <f t="shared" si="0"/>
        <v>3600</v>
      </c>
    </row>
    <row r="27" spans="1:14" x14ac:dyDescent="0.3">
      <c r="A27" s="165" t="s">
        <v>277</v>
      </c>
      <c r="B27" s="178"/>
      <c r="C27" s="178"/>
      <c r="D27" s="178"/>
      <c r="E27" s="178"/>
      <c r="F27" s="178">
        <v>520</v>
      </c>
      <c r="G27" s="178"/>
      <c r="H27" s="178"/>
      <c r="I27" s="178"/>
      <c r="J27" s="178"/>
      <c r="K27" s="178"/>
      <c r="L27" s="178"/>
      <c r="M27" s="178"/>
      <c r="N27" s="343">
        <f t="shared" si="0"/>
        <v>520</v>
      </c>
    </row>
    <row r="28" spans="1:14" x14ac:dyDescent="0.3">
      <c r="A28" s="165" t="s">
        <v>293</v>
      </c>
      <c r="B28" s="178"/>
      <c r="C28" s="178"/>
      <c r="D28" s="178"/>
      <c r="E28" s="178">
        <v>5288</v>
      </c>
      <c r="F28" s="178"/>
      <c r="G28" s="178"/>
      <c r="H28" s="178"/>
      <c r="I28" s="178"/>
      <c r="J28" s="178"/>
      <c r="K28" s="178"/>
      <c r="L28" s="178"/>
      <c r="M28" s="178"/>
      <c r="N28" s="343">
        <f t="shared" si="0"/>
        <v>5288</v>
      </c>
    </row>
    <row r="29" spans="1:14" x14ac:dyDescent="0.3">
      <c r="A29" s="165" t="s">
        <v>302</v>
      </c>
      <c r="B29" s="178"/>
      <c r="C29" s="178"/>
      <c r="D29" s="178"/>
      <c r="E29" s="178">
        <v>4400</v>
      </c>
      <c r="F29" s="178"/>
      <c r="G29" s="178"/>
      <c r="H29" s="178"/>
      <c r="I29" s="178"/>
      <c r="J29" s="178"/>
      <c r="K29" s="178"/>
      <c r="L29" s="178"/>
      <c r="M29" s="178"/>
      <c r="N29" s="343">
        <f t="shared" si="0"/>
        <v>4400</v>
      </c>
    </row>
    <row r="30" spans="1:14" x14ac:dyDescent="0.3">
      <c r="A30" s="165" t="s">
        <v>303</v>
      </c>
      <c r="B30" s="178"/>
      <c r="C30" s="178"/>
      <c r="D30" s="178"/>
      <c r="E30" s="178">
        <v>1000</v>
      </c>
      <c r="F30" s="178"/>
      <c r="G30" s="178"/>
      <c r="H30" s="178"/>
      <c r="I30" s="178"/>
      <c r="J30" s="178"/>
      <c r="K30" s="178"/>
      <c r="L30" s="178"/>
      <c r="M30" s="178"/>
      <c r="N30" s="343">
        <f t="shared" si="0"/>
        <v>1000</v>
      </c>
    </row>
    <row r="31" spans="1:14" x14ac:dyDescent="0.3">
      <c r="A31" s="165" t="s">
        <v>314</v>
      </c>
      <c r="B31" s="178"/>
      <c r="C31" s="178"/>
      <c r="D31" s="178"/>
      <c r="E31" s="178"/>
      <c r="F31" s="178"/>
      <c r="G31" s="178">
        <v>4431</v>
      </c>
      <c r="H31" s="178"/>
      <c r="I31" s="178"/>
      <c r="J31" s="178"/>
      <c r="K31" s="178"/>
      <c r="L31" s="178"/>
      <c r="M31" s="178"/>
      <c r="N31" s="343">
        <f t="shared" si="0"/>
        <v>4431</v>
      </c>
    </row>
    <row r="32" spans="1:14" x14ac:dyDescent="0.3">
      <c r="A32" s="165" t="s">
        <v>315</v>
      </c>
      <c r="B32" s="178"/>
      <c r="C32" s="178"/>
      <c r="D32" s="178"/>
      <c r="E32" s="178"/>
      <c r="F32" s="178"/>
      <c r="G32" s="178">
        <v>4120</v>
      </c>
      <c r="H32" s="178"/>
      <c r="I32" s="178"/>
      <c r="J32" s="178"/>
      <c r="K32" s="178"/>
      <c r="L32" s="178"/>
      <c r="M32" s="178"/>
      <c r="N32" s="343">
        <f t="shared" si="0"/>
        <v>4120</v>
      </c>
    </row>
    <row r="33" spans="1:14" x14ac:dyDescent="0.3">
      <c r="A33" s="165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343">
        <f t="shared" si="0"/>
        <v>0</v>
      </c>
    </row>
    <row r="34" spans="1:14" x14ac:dyDescent="0.3">
      <c r="A34" s="165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343">
        <f t="shared" si="0"/>
        <v>0</v>
      </c>
    </row>
    <row r="35" spans="1:14" x14ac:dyDescent="0.3">
      <c r="A35" s="165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343">
        <f t="shared" si="0"/>
        <v>0</v>
      </c>
    </row>
    <row r="36" spans="1:14" x14ac:dyDescent="0.3">
      <c r="A36" s="165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343">
        <f t="shared" si="0"/>
        <v>0</v>
      </c>
    </row>
    <row r="37" spans="1:14" x14ac:dyDescent="0.3">
      <c r="A37" s="165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43">
        <f t="shared" si="0"/>
        <v>0</v>
      </c>
    </row>
    <row r="38" spans="1:14" x14ac:dyDescent="0.3">
      <c r="A38" s="165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343">
        <f t="shared" si="0"/>
        <v>0</v>
      </c>
    </row>
    <row r="39" spans="1:14" x14ac:dyDescent="0.3">
      <c r="A39" s="165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343">
        <f t="shared" si="0"/>
        <v>0</v>
      </c>
    </row>
    <row r="40" spans="1:14" x14ac:dyDescent="0.3">
      <c r="A40" s="165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343">
        <f t="shared" ref="N40:N42" si="1">SUM(B40:M40)</f>
        <v>0</v>
      </c>
    </row>
    <row r="41" spans="1:14" x14ac:dyDescent="0.3">
      <c r="A41" s="165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343">
        <f t="shared" si="1"/>
        <v>0</v>
      </c>
    </row>
    <row r="42" spans="1:14" x14ac:dyDescent="0.3">
      <c r="A42" s="165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43">
        <f t="shared" si="1"/>
        <v>0</v>
      </c>
    </row>
    <row r="43" spans="1:14" x14ac:dyDescent="0.3">
      <c r="A43" s="165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343">
        <f t="shared" si="0"/>
        <v>0</v>
      </c>
    </row>
    <row r="44" spans="1:14" x14ac:dyDescent="0.3">
      <c r="A44" s="16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343">
        <f t="shared" si="0"/>
        <v>0</v>
      </c>
    </row>
    <row r="45" spans="1:14" x14ac:dyDescent="0.3">
      <c r="A45" s="165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343">
        <f t="shared" si="0"/>
        <v>0</v>
      </c>
    </row>
    <row r="46" spans="1:14" x14ac:dyDescent="0.3">
      <c r="A46" s="16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343">
        <f t="shared" si="0"/>
        <v>0</v>
      </c>
    </row>
    <row r="47" spans="1:14" x14ac:dyDescent="0.3">
      <c r="A47" s="155" t="s">
        <v>90</v>
      </c>
      <c r="B47" s="153">
        <f t="shared" ref="B47:N47" si="2">SUM(B3:B46)</f>
        <v>55368</v>
      </c>
      <c r="C47" s="153">
        <f t="shared" si="2"/>
        <v>83345</v>
      </c>
      <c r="D47" s="153">
        <f t="shared" si="2"/>
        <v>14706.94</v>
      </c>
      <c r="E47" s="153">
        <f t="shared" si="2"/>
        <v>56188</v>
      </c>
      <c r="F47" s="153">
        <f t="shared" si="2"/>
        <v>82864</v>
      </c>
      <c r="G47" s="153">
        <f t="shared" si="2"/>
        <v>42172</v>
      </c>
      <c r="H47" s="153">
        <f t="shared" si="2"/>
        <v>0</v>
      </c>
      <c r="I47" s="153">
        <f t="shared" si="2"/>
        <v>0</v>
      </c>
      <c r="J47" s="153">
        <f t="shared" si="2"/>
        <v>0</v>
      </c>
      <c r="K47" s="153">
        <f t="shared" si="2"/>
        <v>0</v>
      </c>
      <c r="L47" s="153">
        <f t="shared" si="2"/>
        <v>0</v>
      </c>
      <c r="M47" s="153">
        <f t="shared" si="2"/>
        <v>0</v>
      </c>
      <c r="N47" s="300">
        <f t="shared" si="2"/>
        <v>334643.94</v>
      </c>
    </row>
    <row r="49" spans="14:14" x14ac:dyDescent="0.3">
      <c r="N49" s="160">
        <f>SUM(B47:M47)-N47</f>
        <v>0</v>
      </c>
    </row>
  </sheetData>
  <phoneticPr fontId="25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N64"/>
  <sheetViews>
    <sheetView workbookViewId="0">
      <selection activeCell="G8" sqref="G8"/>
    </sheetView>
  </sheetViews>
  <sheetFormatPr defaultRowHeight="14.4" x14ac:dyDescent="0.3"/>
  <cols>
    <col min="1" max="1" width="29.88671875" style="94" bestFit="1" customWidth="1"/>
    <col min="2" max="2" width="11.5546875" style="1" bestFit="1" customWidth="1"/>
    <col min="3" max="3" width="9.33203125" style="1" bestFit="1" customWidth="1"/>
    <col min="4" max="4" width="8" style="1" customWidth="1"/>
    <col min="5" max="5" width="12.88671875" style="1" customWidth="1"/>
    <col min="6" max="6" width="10.88671875" style="1" customWidth="1"/>
    <col min="7" max="7" width="10.6640625" style="1" customWidth="1"/>
    <col min="8" max="9" width="9.33203125" style="1" bestFit="1" customWidth="1"/>
    <col min="10" max="11" width="10.33203125" style="1" bestFit="1" customWidth="1"/>
    <col min="12" max="13" width="9.33203125" style="1" bestFit="1" customWidth="1"/>
    <col min="14" max="14" width="10.33203125" style="201" bestFit="1" customWidth="1"/>
  </cols>
  <sheetData>
    <row r="1" spans="1:14" x14ac:dyDescent="0.3">
      <c r="A1" s="133" t="s">
        <v>107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99"/>
    </row>
    <row r="2" spans="1:14" x14ac:dyDescent="0.3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0"/>
    </row>
    <row r="3" spans="1:14" x14ac:dyDescent="0.3">
      <c r="A3" s="176" t="s">
        <v>126</v>
      </c>
      <c r="B3" s="178">
        <v>64345</v>
      </c>
      <c r="C3" s="178"/>
      <c r="D3" s="178"/>
      <c r="E3" s="178">
        <v>68000</v>
      </c>
      <c r="F3" s="178"/>
      <c r="G3" s="178"/>
      <c r="H3" s="178"/>
      <c r="I3" s="178"/>
      <c r="J3" s="178"/>
      <c r="K3" s="178"/>
      <c r="L3" s="178"/>
      <c r="M3" s="178"/>
      <c r="N3" s="180">
        <f t="shared" ref="N3:N39" si="0">SUM(B3:M3)</f>
        <v>132345</v>
      </c>
    </row>
    <row r="4" spans="1:14" x14ac:dyDescent="0.3">
      <c r="A4" s="176" t="s">
        <v>167</v>
      </c>
      <c r="B4" s="178">
        <v>2889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si="0"/>
        <v>2889</v>
      </c>
    </row>
    <row r="5" spans="1:14" x14ac:dyDescent="0.3">
      <c r="A5" s="176" t="s">
        <v>168</v>
      </c>
      <c r="B5" s="178">
        <v>1350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1350</v>
      </c>
    </row>
    <row r="6" spans="1:14" x14ac:dyDescent="0.3">
      <c r="A6" s="176" t="s">
        <v>180</v>
      </c>
      <c r="B6" s="178">
        <v>13756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13756</v>
      </c>
    </row>
    <row r="7" spans="1:14" x14ac:dyDescent="0.3">
      <c r="A7" s="165" t="s">
        <v>316</v>
      </c>
      <c r="B7" s="178"/>
      <c r="C7" s="178"/>
      <c r="D7" s="178"/>
      <c r="E7" s="178"/>
      <c r="F7" s="178"/>
      <c r="G7" s="178">
        <v>20630</v>
      </c>
      <c r="H7" s="178"/>
      <c r="I7" s="178"/>
      <c r="J7" s="178"/>
      <c r="K7" s="178"/>
      <c r="L7" s="178"/>
      <c r="M7" s="178"/>
      <c r="N7" s="182">
        <f t="shared" si="0"/>
        <v>20630</v>
      </c>
    </row>
    <row r="8" spans="1:14" x14ac:dyDescent="0.3">
      <c r="A8" s="165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82">
        <f t="shared" si="0"/>
        <v>0</v>
      </c>
    </row>
    <row r="9" spans="1:14" x14ac:dyDescent="0.3">
      <c r="A9" s="165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82">
        <f t="shared" si="0"/>
        <v>0</v>
      </c>
    </row>
    <row r="10" spans="1:14" x14ac:dyDescent="0.3">
      <c r="A10" s="165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82">
        <f t="shared" si="0"/>
        <v>0</v>
      </c>
    </row>
    <row r="11" spans="1:14" x14ac:dyDescent="0.3">
      <c r="A11" s="165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82">
        <f t="shared" si="0"/>
        <v>0</v>
      </c>
    </row>
    <row r="12" spans="1:14" x14ac:dyDescent="0.3">
      <c r="A12" s="165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82">
        <f t="shared" si="0"/>
        <v>0</v>
      </c>
    </row>
    <row r="13" spans="1:14" x14ac:dyDescent="0.3">
      <c r="A13" s="165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82">
        <f t="shared" si="0"/>
        <v>0</v>
      </c>
    </row>
    <row r="14" spans="1:14" x14ac:dyDescent="0.3">
      <c r="A14" s="176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80">
        <f t="shared" si="0"/>
        <v>0</v>
      </c>
    </row>
    <row r="15" spans="1:14" x14ac:dyDescent="0.3">
      <c r="A15" s="176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80">
        <f t="shared" si="0"/>
        <v>0</v>
      </c>
    </row>
    <row r="16" spans="1:14" x14ac:dyDescent="0.3">
      <c r="A16" s="176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80">
        <f t="shared" si="0"/>
        <v>0</v>
      </c>
    </row>
    <row r="17" spans="1:14" x14ac:dyDescent="0.3">
      <c r="A17" s="176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80">
        <f t="shared" si="0"/>
        <v>0</v>
      </c>
    </row>
    <row r="18" spans="1:14" x14ac:dyDescent="0.3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80">
        <f t="shared" si="0"/>
        <v>0</v>
      </c>
    </row>
    <row r="19" spans="1:14" x14ac:dyDescent="0.3">
      <c r="A19" s="176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80">
        <f t="shared" si="0"/>
        <v>0</v>
      </c>
    </row>
    <row r="20" spans="1:14" x14ac:dyDescent="0.3">
      <c r="A20" s="176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80">
        <f t="shared" si="0"/>
        <v>0</v>
      </c>
    </row>
    <row r="21" spans="1:14" x14ac:dyDescent="0.3">
      <c r="A21" s="176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80">
        <f t="shared" si="0"/>
        <v>0</v>
      </c>
    </row>
    <row r="22" spans="1:14" x14ac:dyDescent="0.3">
      <c r="A22" s="176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80">
        <f t="shared" si="0"/>
        <v>0</v>
      </c>
    </row>
    <row r="23" spans="1:14" x14ac:dyDescent="0.3">
      <c r="A23" s="176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80">
        <f t="shared" si="0"/>
        <v>0</v>
      </c>
    </row>
    <row r="24" spans="1:14" x14ac:dyDescent="0.3">
      <c r="A24" s="176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80">
        <f t="shared" si="0"/>
        <v>0</v>
      </c>
    </row>
    <row r="25" spans="1:14" x14ac:dyDescent="0.3">
      <c r="A25" s="176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80">
        <f t="shared" si="0"/>
        <v>0</v>
      </c>
    </row>
    <row r="26" spans="1:14" x14ac:dyDescent="0.3">
      <c r="A26" s="176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80">
        <f t="shared" si="0"/>
        <v>0</v>
      </c>
    </row>
    <row r="27" spans="1:14" x14ac:dyDescent="0.3">
      <c r="A27" s="176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80">
        <f t="shared" si="0"/>
        <v>0</v>
      </c>
    </row>
    <row r="28" spans="1:14" x14ac:dyDescent="0.3">
      <c r="A28" s="176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80">
        <f t="shared" si="0"/>
        <v>0</v>
      </c>
    </row>
    <row r="29" spans="1:14" x14ac:dyDescent="0.3">
      <c r="A29" s="176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80">
        <f t="shared" si="0"/>
        <v>0</v>
      </c>
    </row>
    <row r="30" spans="1:14" x14ac:dyDescent="0.3">
      <c r="A30" s="176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80">
        <f t="shared" si="0"/>
        <v>0</v>
      </c>
    </row>
    <row r="31" spans="1:14" x14ac:dyDescent="0.3">
      <c r="A31" s="176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80">
        <f t="shared" si="0"/>
        <v>0</v>
      </c>
    </row>
    <row r="32" spans="1:14" x14ac:dyDescent="0.3">
      <c r="A32" s="176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80">
        <f t="shared" si="0"/>
        <v>0</v>
      </c>
    </row>
    <row r="33" spans="1:14" x14ac:dyDescent="0.3">
      <c r="A33" s="176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80">
        <f t="shared" si="0"/>
        <v>0</v>
      </c>
    </row>
    <row r="34" spans="1:14" x14ac:dyDescent="0.3">
      <c r="A34" s="176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80">
        <f t="shared" si="0"/>
        <v>0</v>
      </c>
    </row>
    <row r="35" spans="1:14" x14ac:dyDescent="0.3">
      <c r="A35" s="176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80">
        <f t="shared" si="0"/>
        <v>0</v>
      </c>
    </row>
    <row r="36" spans="1:14" x14ac:dyDescent="0.3">
      <c r="A36" s="176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80">
        <f t="shared" si="0"/>
        <v>0</v>
      </c>
    </row>
    <row r="37" spans="1:14" x14ac:dyDescent="0.3">
      <c r="A37" s="176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80">
        <f t="shared" si="0"/>
        <v>0</v>
      </c>
    </row>
    <row r="38" spans="1:14" x14ac:dyDescent="0.3">
      <c r="A38" s="176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80">
        <f t="shared" si="0"/>
        <v>0</v>
      </c>
    </row>
    <row r="39" spans="1:14" x14ac:dyDescent="0.3">
      <c r="A39" s="176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80">
        <f t="shared" si="0"/>
        <v>0</v>
      </c>
    </row>
    <row r="40" spans="1:14" x14ac:dyDescent="0.3">
      <c r="A40" s="176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80">
        <f t="shared" ref="N40:N61" si="1">SUM(B40:M40)</f>
        <v>0</v>
      </c>
    </row>
    <row r="41" spans="1:14" x14ac:dyDescent="0.3">
      <c r="A41" s="176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80">
        <f t="shared" si="1"/>
        <v>0</v>
      </c>
    </row>
    <row r="42" spans="1:14" x14ac:dyDescent="0.3">
      <c r="A42" s="176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80">
        <f t="shared" si="1"/>
        <v>0</v>
      </c>
    </row>
    <row r="43" spans="1:14" x14ac:dyDescent="0.3">
      <c r="A43" s="176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80">
        <f t="shared" si="1"/>
        <v>0</v>
      </c>
    </row>
    <row r="44" spans="1:14" x14ac:dyDescent="0.3">
      <c r="A44" s="176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80">
        <f t="shared" si="1"/>
        <v>0</v>
      </c>
    </row>
    <row r="45" spans="1:14" x14ac:dyDescent="0.3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80">
        <f t="shared" si="1"/>
        <v>0</v>
      </c>
    </row>
    <row r="46" spans="1:14" x14ac:dyDescent="0.3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80">
        <f t="shared" si="1"/>
        <v>0</v>
      </c>
    </row>
    <row r="47" spans="1:14" x14ac:dyDescent="0.3">
      <c r="A47" s="176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80">
        <f t="shared" si="1"/>
        <v>0</v>
      </c>
    </row>
    <row r="48" spans="1:14" x14ac:dyDescent="0.3">
      <c r="A48" s="176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80">
        <f t="shared" si="1"/>
        <v>0</v>
      </c>
    </row>
    <row r="49" spans="1:14" x14ac:dyDescent="0.3">
      <c r="A49" s="176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80">
        <f t="shared" si="1"/>
        <v>0</v>
      </c>
    </row>
    <row r="50" spans="1:14" x14ac:dyDescent="0.3">
      <c r="A50" s="176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80">
        <f t="shared" si="1"/>
        <v>0</v>
      </c>
    </row>
    <row r="51" spans="1:14" x14ac:dyDescent="0.3">
      <c r="A51" s="176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80">
        <f t="shared" si="1"/>
        <v>0</v>
      </c>
    </row>
    <row r="52" spans="1:14" x14ac:dyDescent="0.3">
      <c r="A52" s="176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80">
        <f t="shared" si="1"/>
        <v>0</v>
      </c>
    </row>
    <row r="53" spans="1:14" x14ac:dyDescent="0.3">
      <c r="A53" s="176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80">
        <f t="shared" si="1"/>
        <v>0</v>
      </c>
    </row>
    <row r="54" spans="1:14" x14ac:dyDescent="0.3">
      <c r="A54" s="176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80">
        <f t="shared" si="1"/>
        <v>0</v>
      </c>
    </row>
    <row r="55" spans="1:14" x14ac:dyDescent="0.3">
      <c r="A55" s="176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80">
        <f t="shared" si="1"/>
        <v>0</v>
      </c>
    </row>
    <row r="56" spans="1:14" x14ac:dyDescent="0.3">
      <c r="A56" s="176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80">
        <f t="shared" si="1"/>
        <v>0</v>
      </c>
    </row>
    <row r="57" spans="1:14" x14ac:dyDescent="0.3">
      <c r="A57" s="176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80">
        <f t="shared" si="1"/>
        <v>0</v>
      </c>
    </row>
    <row r="58" spans="1:14" x14ac:dyDescent="0.3">
      <c r="A58" s="176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0">
        <f t="shared" si="1"/>
        <v>0</v>
      </c>
    </row>
    <row r="59" spans="1:14" x14ac:dyDescent="0.3">
      <c r="A59" s="176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80">
        <f t="shared" si="1"/>
        <v>0</v>
      </c>
    </row>
    <row r="60" spans="1:14" x14ac:dyDescent="0.3">
      <c r="A60" s="176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80">
        <f t="shared" si="1"/>
        <v>0</v>
      </c>
    </row>
    <row r="61" spans="1:14" x14ac:dyDescent="0.3">
      <c r="A61" s="176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80">
        <f t="shared" si="1"/>
        <v>0</v>
      </c>
    </row>
    <row r="62" spans="1:14" x14ac:dyDescent="0.3">
      <c r="A62" s="133" t="s">
        <v>90</v>
      </c>
      <c r="B62" s="185">
        <f t="shared" ref="B62:N62" si="2">SUM(B3:B61)</f>
        <v>82340</v>
      </c>
      <c r="C62" s="185">
        <f t="shared" si="2"/>
        <v>0</v>
      </c>
      <c r="D62" s="185">
        <f t="shared" si="2"/>
        <v>0</v>
      </c>
      <c r="E62" s="185">
        <f t="shared" si="2"/>
        <v>68000</v>
      </c>
      <c r="F62" s="185">
        <f t="shared" si="2"/>
        <v>0</v>
      </c>
      <c r="G62" s="185">
        <f t="shared" si="2"/>
        <v>20630</v>
      </c>
      <c r="H62" s="185">
        <f>SUM(H3:H61)</f>
        <v>0</v>
      </c>
      <c r="I62" s="185">
        <f t="shared" si="2"/>
        <v>0</v>
      </c>
      <c r="J62" s="185">
        <f t="shared" si="2"/>
        <v>0</v>
      </c>
      <c r="K62" s="185">
        <f t="shared" si="2"/>
        <v>0</v>
      </c>
      <c r="L62" s="185">
        <f t="shared" si="2"/>
        <v>0</v>
      </c>
      <c r="M62" s="185">
        <f t="shared" si="2"/>
        <v>0</v>
      </c>
      <c r="N62" s="185">
        <f t="shared" si="2"/>
        <v>170970</v>
      </c>
    </row>
    <row r="64" spans="1:14" x14ac:dyDescent="0.3">
      <c r="N64" s="201">
        <f>SUM(B62:M62)-N62</f>
        <v>0</v>
      </c>
    </row>
  </sheetData>
  <phoneticPr fontId="2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  <pageSetUpPr fitToPage="1"/>
  </sheetPr>
  <dimension ref="A1:N57"/>
  <sheetViews>
    <sheetView workbookViewId="0">
      <selection activeCell="A8" sqref="A8"/>
    </sheetView>
  </sheetViews>
  <sheetFormatPr defaultRowHeight="14.4" x14ac:dyDescent="0.3"/>
  <cols>
    <col min="1" max="1" width="39.21875" customWidth="1"/>
    <col min="3" max="3" width="10.33203125" bestFit="1" customWidth="1"/>
    <col min="4" max="8" width="10.33203125" customWidth="1"/>
    <col min="9" max="10" width="10.33203125" bestFit="1" customWidth="1"/>
    <col min="11" max="11" width="10.44140625" bestFit="1" customWidth="1"/>
    <col min="12" max="12" width="9.33203125" bestFit="1" customWidth="1"/>
    <col min="14" max="14" width="12.88671875" bestFit="1" customWidth="1"/>
    <col min="18" max="18" width="10.33203125" bestFit="1" customWidth="1"/>
  </cols>
  <sheetData>
    <row r="1" spans="1:14" x14ac:dyDescent="0.3">
      <c r="A1" s="155" t="s">
        <v>108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3">
      <c r="A2" s="156"/>
      <c r="B2" s="177" t="s">
        <v>9</v>
      </c>
      <c r="C2" s="172" t="s">
        <v>14</v>
      </c>
      <c r="D2" s="177" t="s">
        <v>15</v>
      </c>
      <c r="E2" s="172" t="s">
        <v>16</v>
      </c>
      <c r="F2" s="177" t="s">
        <v>17</v>
      </c>
      <c r="G2" s="172" t="s">
        <v>18</v>
      </c>
      <c r="H2" s="177" t="s">
        <v>19</v>
      </c>
      <c r="I2" s="172" t="s">
        <v>4</v>
      </c>
      <c r="J2" s="177" t="s">
        <v>5</v>
      </c>
      <c r="K2" s="172" t="s">
        <v>6</v>
      </c>
      <c r="L2" s="177" t="s">
        <v>7</v>
      </c>
      <c r="M2" s="172" t="s">
        <v>8</v>
      </c>
      <c r="N2" s="152"/>
    </row>
    <row r="3" spans="1:14" x14ac:dyDescent="0.3">
      <c r="A3" s="176" t="s">
        <v>225</v>
      </c>
      <c r="B3" s="178"/>
      <c r="C3" s="178"/>
      <c r="D3" s="178">
        <v>120000</v>
      </c>
      <c r="E3" s="178"/>
      <c r="F3" s="178"/>
      <c r="G3" s="178"/>
      <c r="H3" s="178"/>
      <c r="I3" s="178"/>
      <c r="J3" s="178"/>
      <c r="K3" s="178"/>
      <c r="L3" s="178"/>
      <c r="M3" s="178"/>
      <c r="N3" s="178">
        <f t="shared" ref="N3:N54" si="0">SUM(B3:M3)</f>
        <v>120000</v>
      </c>
    </row>
    <row r="4" spans="1:14" s="332" customFormat="1" ht="13.8" x14ac:dyDescent="0.25">
      <c r="A4" s="338" t="s">
        <v>278</v>
      </c>
      <c r="B4" s="337"/>
      <c r="C4" s="337"/>
      <c r="D4" s="337"/>
      <c r="E4" s="337"/>
      <c r="F4" s="337">
        <v>443232</v>
      </c>
      <c r="G4" s="337">
        <v>295488</v>
      </c>
      <c r="H4" s="337"/>
      <c r="I4" s="337"/>
      <c r="J4" s="337"/>
      <c r="K4" s="337"/>
      <c r="L4" s="337"/>
      <c r="M4" s="337"/>
      <c r="N4" s="337">
        <f t="shared" ref="N4:N6" si="1">SUM(B4:M4)</f>
        <v>738720</v>
      </c>
    </row>
    <row r="5" spans="1:14" s="332" customFormat="1" ht="13.8" x14ac:dyDescent="0.25">
      <c r="A5" s="338" t="s">
        <v>279</v>
      </c>
      <c r="B5" s="337"/>
      <c r="C5" s="337"/>
      <c r="D5" s="337"/>
      <c r="E5" s="337"/>
      <c r="F5" s="337">
        <v>33000</v>
      </c>
      <c r="G5" s="337">
        <v>22000</v>
      </c>
      <c r="H5" s="337"/>
      <c r="I5" s="337"/>
      <c r="J5" s="337"/>
      <c r="K5" s="337"/>
      <c r="L5" s="337"/>
      <c r="M5" s="337"/>
      <c r="N5" s="337">
        <f t="shared" si="1"/>
        <v>55000</v>
      </c>
    </row>
    <row r="6" spans="1:14" s="332" customFormat="1" ht="13.8" x14ac:dyDescent="0.25">
      <c r="A6" s="338" t="s">
        <v>305</v>
      </c>
      <c r="B6" s="337"/>
      <c r="C6" s="337"/>
      <c r="D6" s="337"/>
      <c r="E6" s="337"/>
      <c r="F6" s="337"/>
      <c r="G6" s="337">
        <v>124000</v>
      </c>
      <c r="H6" s="337"/>
      <c r="I6" s="337"/>
      <c r="J6" s="337"/>
      <c r="K6" s="337"/>
      <c r="L6" s="337"/>
      <c r="M6" s="337"/>
      <c r="N6" s="337">
        <f t="shared" si="1"/>
        <v>124000</v>
      </c>
    </row>
    <row r="7" spans="1:14" s="332" customFormat="1" ht="13.8" x14ac:dyDescent="0.25">
      <c r="A7" s="338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>SUM(B7:M7)</f>
        <v>0</v>
      </c>
    </row>
    <row r="8" spans="1:14" x14ac:dyDescent="0.3">
      <c r="A8" s="165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>SUM(B8:M8)</f>
        <v>0</v>
      </c>
    </row>
    <row r="9" spans="1:14" x14ac:dyDescent="0.3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3">
      <c r="A10" s="152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f t="shared" si="0"/>
        <v>0</v>
      </c>
    </row>
    <row r="11" spans="1:14" x14ac:dyDescent="0.3">
      <c r="A11" s="313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f t="shared" si="0"/>
        <v>0</v>
      </c>
    </row>
    <row r="12" spans="1:14" x14ac:dyDescent="0.3">
      <c r="A12" s="313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f t="shared" si="0"/>
        <v>0</v>
      </c>
    </row>
    <row r="13" spans="1:14" x14ac:dyDescent="0.3">
      <c r="A13" s="313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>
        <f t="shared" si="0"/>
        <v>0</v>
      </c>
    </row>
    <row r="14" spans="1:14" x14ac:dyDescent="0.3">
      <c r="A14" s="152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 t="shared" si="0"/>
        <v>0</v>
      </c>
    </row>
    <row r="15" spans="1:14" x14ac:dyDescent="0.3">
      <c r="A15" s="34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 t="shared" si="0"/>
        <v>0</v>
      </c>
    </row>
    <row r="16" spans="1:14" x14ac:dyDescent="0.3">
      <c r="A16" s="152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>
        <f t="shared" si="0"/>
        <v>0</v>
      </c>
    </row>
    <row r="17" spans="1:14" x14ac:dyDescent="0.3">
      <c r="A17" s="314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0</v>
      </c>
    </row>
    <row r="18" spans="1:14" x14ac:dyDescent="0.3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312">
        <f t="shared" si="0"/>
        <v>0</v>
      </c>
    </row>
    <row r="19" spans="1:14" x14ac:dyDescent="0.3">
      <c r="A19" s="174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0</v>
      </c>
    </row>
    <row r="20" spans="1:14" hidden="1" x14ac:dyDescent="0.3">
      <c r="A20" s="174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0</v>
      </c>
    </row>
    <row r="21" spans="1:14" hidden="1" x14ac:dyDescent="0.3">
      <c r="A21" s="174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>
        <f t="shared" si="0"/>
        <v>0</v>
      </c>
    </row>
    <row r="22" spans="1:14" hidden="1" x14ac:dyDescent="0.3">
      <c r="A22" s="174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 t="shared" si="0"/>
        <v>0</v>
      </c>
    </row>
    <row r="23" spans="1:14" hidden="1" x14ac:dyDescent="0.3">
      <c r="A23" s="174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>
        <f t="shared" si="0"/>
        <v>0</v>
      </c>
    </row>
    <row r="24" spans="1:14" hidden="1" x14ac:dyDescent="0.3">
      <c r="A24" s="174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idden="1" x14ac:dyDescent="0.3">
      <c r="A25" s="174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idden="1" x14ac:dyDescent="0.3">
      <c r="A26" s="174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idden="1" x14ac:dyDescent="0.3">
      <c r="A27" s="174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idden="1" x14ac:dyDescent="0.3">
      <c r="A28" s="174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si="0"/>
        <v>0</v>
      </c>
    </row>
    <row r="29" spans="1:14" hidden="1" x14ac:dyDescent="0.3">
      <c r="A29" s="174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idden="1" x14ac:dyDescent="0.3">
      <c r="A30" s="174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idden="1" x14ac:dyDescent="0.3">
      <c r="A31" s="174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>
        <f t="shared" si="0"/>
        <v>0</v>
      </c>
    </row>
    <row r="32" spans="1:14" hidden="1" x14ac:dyDescent="0.3">
      <c r="A32" s="174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>
        <f t="shared" si="0"/>
        <v>0</v>
      </c>
    </row>
    <row r="33" spans="1:14" hidden="1" x14ac:dyDescent="0.3">
      <c r="A33" s="174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>
        <f t="shared" si="0"/>
        <v>0</v>
      </c>
    </row>
    <row r="34" spans="1:14" hidden="1" x14ac:dyDescent="0.3">
      <c r="A34" s="17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>
        <f t="shared" si="0"/>
        <v>0</v>
      </c>
    </row>
    <row r="35" spans="1:14" hidden="1" x14ac:dyDescent="0.3">
      <c r="A35" s="174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>
        <f t="shared" si="0"/>
        <v>0</v>
      </c>
    </row>
    <row r="36" spans="1:14" hidden="1" x14ac:dyDescent="0.3">
      <c r="A36" s="174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>
        <f t="shared" si="0"/>
        <v>0</v>
      </c>
    </row>
    <row r="37" spans="1:14" hidden="1" x14ac:dyDescent="0.3">
      <c r="A37" s="174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>
        <f t="shared" si="0"/>
        <v>0</v>
      </c>
    </row>
    <row r="38" spans="1:14" hidden="1" x14ac:dyDescent="0.3">
      <c r="A38" s="174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>
        <f t="shared" si="0"/>
        <v>0</v>
      </c>
    </row>
    <row r="39" spans="1:14" hidden="1" x14ac:dyDescent="0.3">
      <c r="A39" s="174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>
        <f t="shared" si="0"/>
        <v>0</v>
      </c>
    </row>
    <row r="40" spans="1:14" hidden="1" x14ac:dyDescent="0.3">
      <c r="A40" s="174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>
        <f t="shared" si="0"/>
        <v>0</v>
      </c>
    </row>
    <row r="41" spans="1:14" hidden="1" x14ac:dyDescent="0.3">
      <c r="A41" s="174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>
        <f t="shared" si="0"/>
        <v>0</v>
      </c>
    </row>
    <row r="42" spans="1:14" hidden="1" x14ac:dyDescent="0.3">
      <c r="A42" s="152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12">
        <f t="shared" si="0"/>
        <v>0</v>
      </c>
    </row>
    <row r="43" spans="1:14" hidden="1" x14ac:dyDescent="0.3">
      <c r="A43" s="152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>
        <f t="shared" si="0"/>
        <v>0</v>
      </c>
    </row>
    <row r="44" spans="1:14" hidden="1" x14ac:dyDescent="0.3">
      <c r="A44" s="31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>
        <f t="shared" si="0"/>
        <v>0</v>
      </c>
    </row>
    <row r="45" spans="1:14" hidden="1" x14ac:dyDescent="0.3">
      <c r="A45" s="174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>
        <f t="shared" si="0"/>
        <v>0</v>
      </c>
    </row>
    <row r="46" spans="1:14" hidden="1" x14ac:dyDescent="0.3">
      <c r="A46" s="31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>
        <f t="shared" si="0"/>
        <v>0</v>
      </c>
    </row>
    <row r="47" spans="1:14" hidden="1" x14ac:dyDescent="0.3">
      <c r="A47" s="152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>
        <f t="shared" si="0"/>
        <v>0</v>
      </c>
    </row>
    <row r="48" spans="1:14" hidden="1" x14ac:dyDescent="0.3">
      <c r="A48" s="152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>
        <f t="shared" si="0"/>
        <v>0</v>
      </c>
    </row>
    <row r="49" spans="1:14" hidden="1" x14ac:dyDescent="0.3">
      <c r="A49" s="152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>
        <f t="shared" si="0"/>
        <v>0</v>
      </c>
    </row>
    <row r="50" spans="1:14" hidden="1" x14ac:dyDescent="0.3">
      <c r="A50" s="152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>
        <f t="shared" si="0"/>
        <v>0</v>
      </c>
    </row>
    <row r="51" spans="1:14" hidden="1" x14ac:dyDescent="0.3">
      <c r="A51" s="152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>
        <f t="shared" si="0"/>
        <v>0</v>
      </c>
    </row>
    <row r="52" spans="1:14" hidden="1" x14ac:dyDescent="0.3">
      <c r="A52" s="152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>
        <f t="shared" si="0"/>
        <v>0</v>
      </c>
    </row>
    <row r="53" spans="1:14" x14ac:dyDescent="0.3">
      <c r="A53" s="313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>
        <f t="shared" si="0"/>
        <v>0</v>
      </c>
    </row>
    <row r="54" spans="1:14" x14ac:dyDescent="0.3">
      <c r="A54" s="356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78">
        <f t="shared" si="0"/>
        <v>0</v>
      </c>
    </row>
    <row r="55" spans="1:14" x14ac:dyDescent="0.3">
      <c r="A55" s="155" t="s">
        <v>90</v>
      </c>
      <c r="B55" s="166">
        <f>SUM(B3:B54)</f>
        <v>0</v>
      </c>
      <c r="C55" s="166">
        <f>SUM(C3:C54)</f>
        <v>0</v>
      </c>
      <c r="D55" s="166">
        <f t="shared" ref="D55:M55" si="2">SUM(D3:D54)</f>
        <v>120000</v>
      </c>
      <c r="E55" s="166">
        <f t="shared" si="2"/>
        <v>0</v>
      </c>
      <c r="F55" s="166">
        <f t="shared" si="2"/>
        <v>476232</v>
      </c>
      <c r="G55" s="166">
        <f t="shared" si="2"/>
        <v>441488</v>
      </c>
      <c r="H55" s="166">
        <f t="shared" si="2"/>
        <v>0</v>
      </c>
      <c r="I55" s="166">
        <f t="shared" si="2"/>
        <v>0</v>
      </c>
      <c r="J55" s="166">
        <f t="shared" si="2"/>
        <v>0</v>
      </c>
      <c r="K55" s="166">
        <f t="shared" si="2"/>
        <v>0</v>
      </c>
      <c r="L55" s="166">
        <f t="shared" si="2"/>
        <v>0</v>
      </c>
      <c r="M55" s="166">
        <f t="shared" si="2"/>
        <v>0</v>
      </c>
      <c r="N55" s="166">
        <f>SUM(N3:N54)</f>
        <v>1037720</v>
      </c>
    </row>
    <row r="57" spans="1:14" x14ac:dyDescent="0.3">
      <c r="N57" s="160">
        <f>SUM(B55:M55)-N55</f>
        <v>0</v>
      </c>
    </row>
  </sheetData>
  <phoneticPr fontId="25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V77"/>
  <sheetViews>
    <sheetView tabSelected="1" view="pageBreakPreview" zoomScaleNormal="100" zoomScaleSheetLayoutView="100" workbookViewId="0">
      <selection activeCell="I61" sqref="I61"/>
    </sheetView>
  </sheetViews>
  <sheetFormatPr defaultColWidth="9.109375" defaultRowHeight="14.4" x14ac:dyDescent="0.3"/>
  <cols>
    <col min="1" max="1" width="37.33203125" style="283" customWidth="1"/>
    <col min="2" max="2" width="14.6640625" style="218" bestFit="1" customWidth="1"/>
    <col min="3" max="3" width="13.5546875" style="218" customWidth="1"/>
    <col min="4" max="4" width="13.6640625" style="213" bestFit="1" customWidth="1"/>
    <col min="5" max="6" width="14.109375" style="213" bestFit="1" customWidth="1"/>
    <col min="7" max="7" width="13.6640625" style="213" bestFit="1" customWidth="1"/>
    <col min="8" max="8" width="14.5546875" style="213" bestFit="1" customWidth="1"/>
    <col min="9" max="11" width="16.33203125" style="213" bestFit="1" customWidth="1"/>
    <col min="12" max="12" width="14.5546875" style="213" bestFit="1" customWidth="1"/>
    <col min="13" max="13" width="16.33203125" style="213" bestFit="1" customWidth="1"/>
    <col min="14" max="14" width="15.88671875" style="213" customWidth="1"/>
    <col min="15" max="15" width="14" style="213" customWidth="1"/>
    <col min="16" max="16" width="14.6640625" style="218" customWidth="1"/>
    <col min="17" max="17" width="15.33203125" style="218" customWidth="1"/>
    <col min="18" max="18" width="16" style="218" bestFit="1" customWidth="1"/>
    <col min="19" max="19" width="15.5546875" style="214" bestFit="1" customWidth="1"/>
    <col min="20" max="16384" width="9.109375" style="214"/>
  </cols>
  <sheetData>
    <row r="1" spans="1:19" ht="18" customHeight="1" x14ac:dyDescent="0.45">
      <c r="A1" s="298" t="s">
        <v>52</v>
      </c>
      <c r="B1" s="299" t="s">
        <v>138</v>
      </c>
      <c r="C1" s="213"/>
      <c r="P1" s="213"/>
      <c r="Q1" s="213"/>
      <c r="R1" s="213"/>
    </row>
    <row r="2" spans="1:19" ht="21" customHeight="1" x14ac:dyDescent="0.3">
      <c r="A2" s="215" t="s">
        <v>304</v>
      </c>
      <c r="B2" s="216"/>
      <c r="C2" s="217"/>
      <c r="D2" s="217"/>
      <c r="E2" s="217"/>
      <c r="F2" s="217"/>
      <c r="G2" s="217"/>
      <c r="H2" s="217"/>
      <c r="I2" s="350"/>
      <c r="J2" s="217"/>
      <c r="K2" s="217"/>
      <c r="L2" s="217"/>
      <c r="M2" s="217"/>
      <c r="N2" s="217"/>
      <c r="O2" s="217"/>
      <c r="P2" s="217"/>
      <c r="Q2" s="218">
        <v>6</v>
      </c>
      <c r="R2" s="218" t="s">
        <v>53</v>
      </c>
    </row>
    <row r="3" spans="1:19" ht="37.5" customHeight="1" x14ac:dyDescent="0.35">
      <c r="A3" s="219" t="s">
        <v>1</v>
      </c>
      <c r="B3" s="309" t="s">
        <v>2</v>
      </c>
      <c r="C3" s="309" t="s">
        <v>54</v>
      </c>
      <c r="D3" s="310" t="s">
        <v>9</v>
      </c>
      <c r="E3" s="310" t="s">
        <v>14</v>
      </c>
      <c r="F3" s="310" t="s">
        <v>15</v>
      </c>
      <c r="G3" s="310" t="s">
        <v>16</v>
      </c>
      <c r="H3" s="310" t="s">
        <v>17</v>
      </c>
      <c r="I3" s="310" t="s">
        <v>18</v>
      </c>
      <c r="J3" s="310" t="s">
        <v>19</v>
      </c>
      <c r="K3" s="310" t="s">
        <v>4</v>
      </c>
      <c r="L3" s="310" t="s">
        <v>5</v>
      </c>
      <c r="M3" s="310" t="s">
        <v>6</v>
      </c>
      <c r="N3" s="310" t="s">
        <v>7</v>
      </c>
      <c r="O3" s="310" t="s">
        <v>8</v>
      </c>
      <c r="P3" s="309" t="str">
        <f>CONCATENATE("Итого за ",Q2," мес.")</f>
        <v>Итого за 6 мес.</v>
      </c>
      <c r="Q3" s="309" t="str">
        <f>CONCATENATE("Бюджет          за ",Q2," мес.")</f>
        <v>Бюджет          за 6 мес.</v>
      </c>
      <c r="R3" s="311" t="s">
        <v>12</v>
      </c>
    </row>
    <row r="4" spans="1:19" ht="15" customHeight="1" x14ac:dyDescent="0.3">
      <c r="A4" s="221" t="s">
        <v>55</v>
      </c>
      <c r="B4" s="372">
        <v>2208884.1</v>
      </c>
      <c r="C4" s="223"/>
      <c r="D4" s="224">
        <f t="shared" ref="D4:O4" si="0">D5*100/$C$5</f>
        <v>77.365944653142151</v>
      </c>
      <c r="E4" s="224">
        <f t="shared" si="0"/>
        <v>130.40087194186796</v>
      </c>
      <c r="F4" s="224">
        <f t="shared" si="0"/>
        <v>113.32172470938109</v>
      </c>
      <c r="G4" s="224">
        <f t="shared" si="0"/>
        <v>98.595607409219738</v>
      </c>
      <c r="H4" s="224">
        <f t="shared" si="0"/>
        <v>98.920898490226278</v>
      </c>
      <c r="I4" s="224">
        <f t="shared" si="0"/>
        <v>101.98285787386466</v>
      </c>
      <c r="J4" s="224">
        <f t="shared" si="0"/>
        <v>0</v>
      </c>
      <c r="K4" s="224">
        <f t="shared" si="0"/>
        <v>0</v>
      </c>
      <c r="L4" s="224">
        <f t="shared" si="0"/>
        <v>0</v>
      </c>
      <c r="M4" s="224">
        <f t="shared" si="0"/>
        <v>0</v>
      </c>
      <c r="N4" s="224">
        <f t="shared" si="0"/>
        <v>0</v>
      </c>
      <c r="O4" s="224">
        <f t="shared" si="0"/>
        <v>0</v>
      </c>
      <c r="P4" s="223"/>
      <c r="Q4" s="225"/>
      <c r="R4" s="225"/>
    </row>
    <row r="5" spans="1:19" ht="15.6" x14ac:dyDescent="0.3">
      <c r="A5" s="221" t="s">
        <v>56</v>
      </c>
      <c r="B5" s="222">
        <v>49340904</v>
      </c>
      <c r="C5" s="226">
        <f>B5/12</f>
        <v>4111742</v>
      </c>
      <c r="D5" s="228">
        <f>3218624.04-37536</f>
        <v>3181088.04</v>
      </c>
      <c r="E5" s="228">
        <f>5781336.42-81079-338510</f>
        <v>5361747.42</v>
      </c>
      <c r="F5" s="227">
        <f>4629496.95+30000</f>
        <v>4659496.95</v>
      </c>
      <c r="G5" s="229">
        <v>4053997</v>
      </c>
      <c r="H5" s="229">
        <v>4067372.13</v>
      </c>
      <c r="I5" s="227">
        <v>4193272</v>
      </c>
      <c r="J5" s="227"/>
      <c r="K5" s="227"/>
      <c r="L5" s="227"/>
      <c r="M5" s="227"/>
      <c r="N5" s="227"/>
      <c r="O5" s="229"/>
      <c r="P5" s="230">
        <f>SUM(D5:O5)</f>
        <v>25516973.539999999</v>
      </c>
      <c r="Q5" s="231">
        <f>C5*Q2</f>
        <v>24670452</v>
      </c>
      <c r="R5" s="232">
        <f>P5-Q5</f>
        <v>846521.53999999911</v>
      </c>
    </row>
    <row r="6" spans="1:19" ht="15.6" x14ac:dyDescent="0.3">
      <c r="A6" s="221" t="s">
        <v>114</v>
      </c>
      <c r="B6" s="233"/>
      <c r="C6" s="234"/>
      <c r="D6" s="228">
        <v>100000</v>
      </c>
      <c r="E6" s="228"/>
      <c r="F6" s="227"/>
      <c r="G6" s="229"/>
      <c r="H6" s="227"/>
      <c r="I6" s="227"/>
      <c r="J6" s="227"/>
      <c r="K6" s="227"/>
      <c r="L6" s="227"/>
      <c r="M6" s="227"/>
      <c r="N6" s="227"/>
      <c r="O6" s="229"/>
      <c r="P6" s="230">
        <f>SUM(D6:O6)</f>
        <v>100000</v>
      </c>
      <c r="Q6" s="235"/>
      <c r="R6" s="232">
        <f t="shared" ref="R6:R8" si="1">P6-Q6</f>
        <v>100000</v>
      </c>
    </row>
    <row r="7" spans="1:19" ht="15.6" x14ac:dyDescent="0.3">
      <c r="A7" s="221" t="s">
        <v>120</v>
      </c>
      <c r="B7" s="306">
        <v>1100000</v>
      </c>
      <c r="C7" s="307">
        <f>B7/12</f>
        <v>91666.666666666672</v>
      </c>
      <c r="D7" s="228">
        <v>68150</v>
      </c>
      <c r="E7" s="227">
        <v>78300</v>
      </c>
      <c r="F7" s="227">
        <f>15700</f>
        <v>15700</v>
      </c>
      <c r="G7" s="227">
        <v>40902</v>
      </c>
      <c r="H7" s="227">
        <v>41514</v>
      </c>
      <c r="I7" s="227">
        <v>40500</v>
      </c>
      <c r="J7" s="227"/>
      <c r="K7" s="227"/>
      <c r="L7" s="227"/>
      <c r="M7" s="227"/>
      <c r="N7" s="227"/>
      <c r="O7" s="229"/>
      <c r="P7" s="230">
        <f t="shared" ref="P7:P12" si="2">SUM(D7:O7)</f>
        <v>285066</v>
      </c>
      <c r="Q7" s="308">
        <f>C7*Q2</f>
        <v>550000</v>
      </c>
      <c r="R7" s="232">
        <f t="shared" si="1"/>
        <v>-264934</v>
      </c>
    </row>
    <row r="8" spans="1:19" ht="31.2" x14ac:dyDescent="0.3">
      <c r="A8" s="236" t="s">
        <v>125</v>
      </c>
      <c r="B8" s="237">
        <v>1060000</v>
      </c>
      <c r="C8" s="238">
        <f>B8/12</f>
        <v>88333.333333333328</v>
      </c>
      <c r="D8" s="239">
        <f>37536+40000+20000</f>
        <v>97536</v>
      </c>
      <c r="E8" s="239">
        <f>81079+40000+40000+20000</f>
        <v>181079</v>
      </c>
      <c r="F8" s="239">
        <f>46080+11275.58+6182.54+40000+20000</f>
        <v>123538.12</v>
      </c>
      <c r="G8" s="239">
        <v>56422</v>
      </c>
      <c r="H8" s="239">
        <v>61406</v>
      </c>
      <c r="I8" s="239">
        <v>78786</v>
      </c>
      <c r="J8" s="239"/>
      <c r="K8" s="239"/>
      <c r="L8" s="239"/>
      <c r="M8" s="239"/>
      <c r="N8" s="239"/>
      <c r="O8" s="240"/>
      <c r="P8" s="241">
        <f t="shared" si="2"/>
        <v>598767.12</v>
      </c>
      <c r="Q8" s="242">
        <f>C8*Q2</f>
        <v>530000</v>
      </c>
      <c r="R8" s="355">
        <f t="shared" si="1"/>
        <v>68767.12</v>
      </c>
    </row>
    <row r="9" spans="1:19" ht="15.6" x14ac:dyDescent="0.3">
      <c r="A9" s="236" t="s">
        <v>127</v>
      </c>
      <c r="B9" s="244"/>
      <c r="C9" s="244"/>
      <c r="D9" s="239">
        <v>16200</v>
      </c>
      <c r="E9" s="239"/>
      <c r="F9" s="239"/>
      <c r="G9" s="239"/>
      <c r="H9" s="239">
        <v>13000</v>
      </c>
      <c r="I9" s="239">
        <v>8200</v>
      </c>
      <c r="J9" s="239"/>
      <c r="K9" s="239"/>
      <c r="L9" s="239"/>
      <c r="M9" s="239"/>
      <c r="N9" s="239"/>
      <c r="O9" s="240"/>
      <c r="P9" s="230">
        <f t="shared" si="2"/>
        <v>37400</v>
      </c>
      <c r="Q9" s="242"/>
      <c r="R9" s="212"/>
    </row>
    <row r="10" spans="1:19" ht="15.6" x14ac:dyDescent="0.3">
      <c r="A10" s="243" t="s">
        <v>106</v>
      </c>
      <c r="B10" s="244"/>
      <c r="C10" s="244"/>
      <c r="D10" s="245">
        <v>2795</v>
      </c>
      <c r="E10" s="245">
        <f>13991.77+2795+13900.16</f>
        <v>30686.93</v>
      </c>
      <c r="F10" s="245">
        <f>9300.78</f>
        <v>9300.7800000000007</v>
      </c>
      <c r="G10" s="245">
        <v>26204.9</v>
      </c>
      <c r="H10" s="245">
        <v>45421</v>
      </c>
      <c r="I10" s="245">
        <v>19835</v>
      </c>
      <c r="J10" s="245"/>
      <c r="K10" s="245"/>
      <c r="L10" s="245"/>
      <c r="M10" s="245"/>
      <c r="N10" s="245"/>
      <c r="O10" s="245"/>
      <c r="P10" s="230">
        <f t="shared" si="2"/>
        <v>134243.60999999999</v>
      </c>
      <c r="Q10" s="245"/>
      <c r="R10" s="214"/>
    </row>
    <row r="11" spans="1:19" ht="15.6" x14ac:dyDescent="0.3">
      <c r="A11" s="243" t="s">
        <v>118</v>
      </c>
      <c r="B11" s="244"/>
      <c r="C11" s="244"/>
      <c r="D11" s="245"/>
      <c r="E11" s="245"/>
      <c r="F11" s="245"/>
      <c r="G11" s="245"/>
      <c r="H11" s="245">
        <v>117</v>
      </c>
      <c r="I11" s="245"/>
      <c r="J11" s="245"/>
      <c r="K11" s="245"/>
      <c r="L11" s="245"/>
      <c r="M11" s="245"/>
      <c r="N11" s="245"/>
      <c r="O11" s="245"/>
      <c r="P11" s="230">
        <f t="shared" si="2"/>
        <v>117</v>
      </c>
      <c r="Q11" s="245"/>
      <c r="R11" s="214"/>
    </row>
    <row r="12" spans="1:19" ht="15.6" x14ac:dyDescent="0.3">
      <c r="A12" s="243" t="s">
        <v>117</v>
      </c>
      <c r="B12" s="244"/>
      <c r="C12" s="244"/>
      <c r="D12" s="245">
        <v>3040</v>
      </c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30">
        <f t="shared" si="2"/>
        <v>3040</v>
      </c>
      <c r="Q12" s="245"/>
      <c r="R12" s="214"/>
    </row>
    <row r="13" spans="1:19" ht="15.6" x14ac:dyDescent="0.3">
      <c r="A13" s="380" t="s">
        <v>186</v>
      </c>
      <c r="B13" s="381"/>
      <c r="C13" s="381"/>
      <c r="D13" s="382"/>
      <c r="E13" s="382">
        <v>45000</v>
      </c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249"/>
      <c r="Q13" s="250"/>
      <c r="R13" s="214"/>
    </row>
    <row r="14" spans="1:19" ht="16.2" thickBot="1" x14ac:dyDescent="0.35">
      <c r="A14" s="246" t="s">
        <v>119</v>
      </c>
      <c r="B14" s="247"/>
      <c r="C14" s="247"/>
      <c r="D14" s="248">
        <f>D53-D54</f>
        <v>1900</v>
      </c>
      <c r="E14" s="248">
        <f>E53-E54</f>
        <v>-33600</v>
      </c>
      <c r="F14" s="248">
        <f>F53-F54+F56-F57</f>
        <v>-235990</v>
      </c>
      <c r="G14" s="248">
        <v>36900</v>
      </c>
      <c r="H14" s="248">
        <v>59820</v>
      </c>
      <c r="I14" s="248">
        <f>I53-I54+I56-I57</f>
        <v>-79890</v>
      </c>
      <c r="J14" s="248">
        <f t="shared" ref="J14:O14" si="3">J53-J54+J56-J57</f>
        <v>0</v>
      </c>
      <c r="K14" s="248">
        <f t="shared" si="3"/>
        <v>0</v>
      </c>
      <c r="L14" s="248">
        <f t="shared" si="3"/>
        <v>0</v>
      </c>
      <c r="M14" s="248">
        <f t="shared" si="3"/>
        <v>0</v>
      </c>
      <c r="N14" s="248">
        <f t="shared" si="3"/>
        <v>0</v>
      </c>
      <c r="O14" s="248">
        <f t="shared" si="3"/>
        <v>0</v>
      </c>
      <c r="P14" s="249"/>
      <c r="Q14" s="250"/>
      <c r="R14" s="214"/>
    </row>
    <row r="15" spans="1:19" ht="15.6" x14ac:dyDescent="0.3">
      <c r="A15" s="251" t="s">
        <v>57</v>
      </c>
      <c r="B15" s="252">
        <f>SUM(B5:B12)</f>
        <v>51500904</v>
      </c>
      <c r="C15" s="253">
        <f>SUM(C5:C12)</f>
        <v>4291742</v>
      </c>
      <c r="D15" s="254">
        <f t="shared" ref="D15:O15" si="4">SUM(D5:D14)</f>
        <v>3470709.04</v>
      </c>
      <c r="E15" s="254">
        <f t="shared" si="4"/>
        <v>5663213.3499999996</v>
      </c>
      <c r="F15" s="254">
        <f t="shared" si="4"/>
        <v>4572045.8500000006</v>
      </c>
      <c r="G15" s="254">
        <f t="shared" si="4"/>
        <v>4214425.9000000004</v>
      </c>
      <c r="H15" s="254">
        <f t="shared" si="4"/>
        <v>4288650.13</v>
      </c>
      <c r="I15" s="254">
        <f t="shared" si="4"/>
        <v>4260703</v>
      </c>
      <c r="J15" s="254">
        <f t="shared" si="4"/>
        <v>0</v>
      </c>
      <c r="K15" s="254">
        <f t="shared" si="4"/>
        <v>0</v>
      </c>
      <c r="L15" s="254">
        <f t="shared" si="4"/>
        <v>0</v>
      </c>
      <c r="M15" s="254">
        <f t="shared" si="4"/>
        <v>0</v>
      </c>
      <c r="N15" s="254">
        <f t="shared" si="4"/>
        <v>0</v>
      </c>
      <c r="O15" s="254">
        <f t="shared" si="4"/>
        <v>0</v>
      </c>
      <c r="P15" s="255">
        <f>SUM(D15:O15)</f>
        <v>26469747.27</v>
      </c>
      <c r="Q15" s="256">
        <f>SUM(Q5:Q12)</f>
        <v>25750452</v>
      </c>
      <c r="R15" s="257">
        <f>P15-Q15</f>
        <v>719295.26999999955</v>
      </c>
      <c r="S15" s="258"/>
    </row>
    <row r="16" spans="1:19" ht="15.6" x14ac:dyDescent="0.3">
      <c r="A16" s="251" t="s">
        <v>58</v>
      </c>
      <c r="B16" s="222">
        <f>B15+B4</f>
        <v>53709788.100000001</v>
      </c>
      <c r="C16" s="259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59"/>
      <c r="Q16" s="259"/>
      <c r="R16" s="259"/>
      <c r="S16" s="258"/>
    </row>
    <row r="17" spans="1:22" ht="33" customHeight="1" x14ac:dyDescent="0.35">
      <c r="A17" s="260" t="s">
        <v>26</v>
      </c>
      <c r="B17" s="261"/>
      <c r="C17" s="262"/>
      <c r="D17" s="302"/>
      <c r="E17" s="302"/>
      <c r="F17" s="302"/>
      <c r="G17" s="302"/>
      <c r="H17" s="302"/>
      <c r="I17" s="347"/>
      <c r="J17" s="302"/>
      <c r="K17" s="302"/>
      <c r="L17" s="302"/>
      <c r="M17" s="302"/>
      <c r="N17" s="302"/>
      <c r="O17" s="302"/>
      <c r="P17" s="262"/>
      <c r="Q17" s="263"/>
      <c r="R17" s="264" t="s">
        <v>27</v>
      </c>
    </row>
    <row r="18" spans="1:22" ht="15.6" x14ac:dyDescent="0.3">
      <c r="A18" s="265" t="s">
        <v>28</v>
      </c>
      <c r="B18" s="222">
        <v>1000000</v>
      </c>
      <c r="C18" s="226">
        <f t="shared" ref="C18:C36" si="5">B18/12</f>
        <v>83333.333333333328</v>
      </c>
      <c r="D18" s="320">
        <f>'общехоз расходы'!B103</f>
        <v>86243.06</v>
      </c>
      <c r="E18" s="320">
        <f>'общехоз расходы'!C103</f>
        <v>58913.47</v>
      </c>
      <c r="F18" s="320">
        <f>'общехоз расходы'!D103</f>
        <v>21051.37</v>
      </c>
      <c r="G18" s="320">
        <v>131251</v>
      </c>
      <c r="H18" s="320">
        <f>'общехоз расходы'!F103</f>
        <v>79836</v>
      </c>
      <c r="I18" s="320">
        <f>'общехоз расходы'!G103</f>
        <v>117247</v>
      </c>
      <c r="J18" s="320">
        <f>'общехоз расходы'!H103</f>
        <v>0</v>
      </c>
      <c r="K18" s="320">
        <f>'общехоз расходы'!I103</f>
        <v>0</v>
      </c>
      <c r="L18" s="320">
        <f>'общехоз расходы'!J103</f>
        <v>0</v>
      </c>
      <c r="M18" s="320">
        <f>'общехоз расходы'!K103</f>
        <v>0</v>
      </c>
      <c r="N18" s="320">
        <f>'общехоз расходы'!L103</f>
        <v>0</v>
      </c>
      <c r="O18" s="320">
        <f>'общехоз расходы'!M103</f>
        <v>0</v>
      </c>
      <c r="P18" s="249">
        <f t="shared" ref="P18:P36" si="6">SUM(D18:O18)</f>
        <v>494541.9</v>
      </c>
      <c r="Q18" s="231">
        <f t="shared" ref="Q18:Q30" si="7">C18*$Q$2</f>
        <v>500000</v>
      </c>
      <c r="R18" s="267">
        <f>Q18-P18</f>
        <v>5458.0999999999767</v>
      </c>
    </row>
    <row r="19" spans="1:22" ht="15.6" x14ac:dyDescent="0.3">
      <c r="A19" s="220" t="s">
        <v>29</v>
      </c>
      <c r="B19" s="252">
        <v>80000</v>
      </c>
      <c r="C19" s="226">
        <f t="shared" si="5"/>
        <v>6666.666666666667</v>
      </c>
      <c r="D19" s="321">
        <f>'прогр обесп'!B10</f>
        <v>17000</v>
      </c>
      <c r="E19" s="321">
        <f>'прогр обесп'!C10</f>
        <v>12399</v>
      </c>
      <c r="F19" s="321">
        <f>'прогр обесп'!D10</f>
        <v>0</v>
      </c>
      <c r="G19" s="321">
        <f>'прогр обесп'!E10</f>
        <v>0</v>
      </c>
      <c r="H19" s="321">
        <f>'прогр обесп'!F10</f>
        <v>0</v>
      </c>
      <c r="I19" s="321">
        <f>'прогр обесп'!G10</f>
        <v>0</v>
      </c>
      <c r="J19" s="321">
        <f>'прогр обесп'!H10</f>
        <v>0</v>
      </c>
      <c r="K19" s="321">
        <f>'прогр обесп'!I10</f>
        <v>0</v>
      </c>
      <c r="L19" s="321">
        <f>'прогр обесп'!J10</f>
        <v>0</v>
      </c>
      <c r="M19" s="321">
        <f>'прогр обесп'!K10</f>
        <v>0</v>
      </c>
      <c r="N19" s="321">
        <f>'прогр обесп'!L10</f>
        <v>0</v>
      </c>
      <c r="O19" s="321">
        <f>'прогр обесп'!M10</f>
        <v>0</v>
      </c>
      <c r="P19" s="230">
        <f>SUM(D19:O19)</f>
        <v>29399</v>
      </c>
      <c r="Q19" s="231">
        <f t="shared" si="7"/>
        <v>40000</v>
      </c>
      <c r="R19" s="267">
        <f t="shared" ref="R19:R29" si="8">Q19-P19</f>
        <v>10601</v>
      </c>
    </row>
    <row r="20" spans="1:22" ht="15.6" x14ac:dyDescent="0.3">
      <c r="A20" s="265" t="s">
        <v>30</v>
      </c>
      <c r="B20" s="222">
        <v>110000</v>
      </c>
      <c r="C20" s="226">
        <f t="shared" si="5"/>
        <v>9166.6666666666661</v>
      </c>
      <c r="D20" s="320">
        <f>связь!B9</f>
        <v>6200</v>
      </c>
      <c r="E20" s="320">
        <f>связь!C9</f>
        <v>6200</v>
      </c>
      <c r="F20" s="320">
        <f>связь!D9</f>
        <v>0</v>
      </c>
      <c r="G20" s="320">
        <v>12400</v>
      </c>
      <c r="H20" s="320">
        <f>связь!F9</f>
        <v>6200</v>
      </c>
      <c r="I20" s="320">
        <f>связь!G9</f>
        <v>6200</v>
      </c>
      <c r="J20" s="320">
        <f>связь!H9</f>
        <v>0</v>
      </c>
      <c r="K20" s="320">
        <f>связь!I9</f>
        <v>0</v>
      </c>
      <c r="L20" s="320">
        <f>связь!J9</f>
        <v>0</v>
      </c>
      <c r="M20" s="320">
        <f>связь!K9</f>
        <v>0</v>
      </c>
      <c r="N20" s="320">
        <f>связь!L9</f>
        <v>0</v>
      </c>
      <c r="O20" s="320">
        <f>связь!M9</f>
        <v>0</v>
      </c>
      <c r="P20" s="230">
        <f t="shared" si="6"/>
        <v>37200</v>
      </c>
      <c r="Q20" s="231">
        <f t="shared" si="7"/>
        <v>55000</v>
      </c>
      <c r="R20" s="267">
        <f t="shared" si="8"/>
        <v>17800</v>
      </c>
    </row>
    <row r="21" spans="1:22" ht="15.6" x14ac:dyDescent="0.3">
      <c r="A21" s="220" t="s">
        <v>59</v>
      </c>
      <c r="B21" s="252">
        <v>11101200</v>
      </c>
      <c r="C21" s="226">
        <f t="shared" si="5"/>
        <v>925100</v>
      </c>
      <c r="D21" s="321">
        <f>'з пл'!B6</f>
        <v>731270.01</v>
      </c>
      <c r="E21" s="321">
        <f>'з пл'!C6</f>
        <v>1263360</v>
      </c>
      <c r="F21" s="321">
        <f>'з пл'!D6</f>
        <v>833714.38</v>
      </c>
      <c r="G21" s="321">
        <v>864398</v>
      </c>
      <c r="H21" s="321">
        <v>820820</v>
      </c>
      <c r="I21" s="321">
        <f>'з пл'!G6</f>
        <v>816880</v>
      </c>
      <c r="J21" s="321">
        <f>'з пл'!H6</f>
        <v>0</v>
      </c>
      <c r="K21" s="321">
        <f>'з пл'!I6</f>
        <v>0</v>
      </c>
      <c r="L21" s="321">
        <f>'з пл'!J6</f>
        <v>0</v>
      </c>
      <c r="M21" s="321">
        <f>'з пл'!K6</f>
        <v>0</v>
      </c>
      <c r="N21" s="321">
        <f>'з пл'!L6</f>
        <v>0</v>
      </c>
      <c r="O21" s="321">
        <f>'з пл'!M6</f>
        <v>0</v>
      </c>
      <c r="P21" s="230">
        <f t="shared" si="6"/>
        <v>5330442.3900000006</v>
      </c>
      <c r="Q21" s="231">
        <f t="shared" si="7"/>
        <v>5550600</v>
      </c>
      <c r="R21" s="267">
        <f t="shared" si="8"/>
        <v>220157.6099999994</v>
      </c>
    </row>
    <row r="22" spans="1:22" ht="15.6" x14ac:dyDescent="0.3">
      <c r="A22" s="220" t="s">
        <v>33</v>
      </c>
      <c r="B22" s="252">
        <v>804000</v>
      </c>
      <c r="C22" s="226">
        <f>B22/12</f>
        <v>67000</v>
      </c>
      <c r="D22" s="321">
        <f>премии!B5</f>
        <v>40000</v>
      </c>
      <c r="E22" s="321">
        <f>премии!C5</f>
        <v>117000</v>
      </c>
      <c r="F22" s="321">
        <f>премии!D5</f>
        <v>41000</v>
      </c>
      <c r="G22" s="321">
        <v>40019</v>
      </c>
      <c r="H22" s="321">
        <f>премии!F5</f>
        <v>0</v>
      </c>
      <c r="I22" s="321">
        <f>премии!G5</f>
        <v>0</v>
      </c>
      <c r="J22" s="321">
        <f>премии!H5</f>
        <v>0</v>
      </c>
      <c r="K22" s="321">
        <f>премии!I5</f>
        <v>0</v>
      </c>
      <c r="L22" s="321">
        <f>премии!J5</f>
        <v>0</v>
      </c>
      <c r="M22" s="321">
        <f>премии!K5</f>
        <v>0</v>
      </c>
      <c r="N22" s="321">
        <f>премии!L5</f>
        <v>0</v>
      </c>
      <c r="O22" s="321">
        <f>премии!M5</f>
        <v>0</v>
      </c>
      <c r="P22" s="230">
        <f>SUM(D22:O22)</f>
        <v>238019</v>
      </c>
      <c r="Q22" s="231">
        <f t="shared" si="7"/>
        <v>402000</v>
      </c>
      <c r="R22" s="267">
        <f t="shared" si="8"/>
        <v>163981</v>
      </c>
    </row>
    <row r="23" spans="1:22" ht="15.6" x14ac:dyDescent="0.3">
      <c r="A23" s="220" t="s">
        <v>34</v>
      </c>
      <c r="B23" s="252">
        <v>3595400</v>
      </c>
      <c r="C23" s="226">
        <f t="shared" si="5"/>
        <v>299616.66666666669</v>
      </c>
      <c r="D23" s="322">
        <f>'налог с ФОТ'!B6</f>
        <v>292625.02999999997</v>
      </c>
      <c r="E23" s="322">
        <f>'налог с ФОТ'!C6</f>
        <v>268690.39999999997</v>
      </c>
      <c r="F23" s="322">
        <f>'налог с ФОТ'!D6</f>
        <v>238997.81</v>
      </c>
      <c r="G23" s="322">
        <v>597653</v>
      </c>
      <c r="H23" s="322">
        <v>488923</v>
      </c>
      <c r="I23" s="322">
        <f>'налог с ФОТ'!G6</f>
        <v>619586</v>
      </c>
      <c r="J23" s="322">
        <f>'налог с ФОТ'!H6</f>
        <v>0</v>
      </c>
      <c r="K23" s="322">
        <f>'налог с ФОТ'!I6</f>
        <v>0</v>
      </c>
      <c r="L23" s="322">
        <f>'налог с ФОТ'!J6</f>
        <v>0</v>
      </c>
      <c r="M23" s="322">
        <f>'налог с ФОТ'!K6</f>
        <v>0</v>
      </c>
      <c r="N23" s="322">
        <f>'налог с ФОТ'!L6</f>
        <v>0</v>
      </c>
      <c r="O23" s="322">
        <f>'налог с ФОТ'!M6</f>
        <v>0</v>
      </c>
      <c r="P23" s="230">
        <f t="shared" si="6"/>
        <v>2506475.2400000002</v>
      </c>
      <c r="Q23" s="231">
        <f t="shared" si="7"/>
        <v>1797700</v>
      </c>
      <c r="R23" s="267">
        <f t="shared" si="8"/>
        <v>-708775.24000000022</v>
      </c>
    </row>
    <row r="24" spans="1:22" ht="15.6" x14ac:dyDescent="0.3">
      <c r="A24" s="265" t="s">
        <v>36</v>
      </c>
      <c r="B24" s="222">
        <v>5000000</v>
      </c>
      <c r="C24" s="226">
        <f t="shared" si="5"/>
        <v>416666.66666666669</v>
      </c>
      <c r="D24" s="320">
        <f>мусор!B10</f>
        <v>609000</v>
      </c>
      <c r="E24" s="320">
        <f>мусор!C10</f>
        <v>409208.62</v>
      </c>
      <c r="F24" s="320">
        <f>мусор!D10</f>
        <v>197200</v>
      </c>
      <c r="G24" s="320">
        <v>214600</v>
      </c>
      <c r="H24" s="320">
        <f>мусор!F10</f>
        <v>184363</v>
      </c>
      <c r="I24" s="320">
        <f>мусор!G10</f>
        <v>333808</v>
      </c>
      <c r="J24" s="320">
        <f>мусор!H10</f>
        <v>0</v>
      </c>
      <c r="K24" s="320">
        <f>мусор!I10</f>
        <v>0</v>
      </c>
      <c r="L24" s="320">
        <f>мусор!J10</f>
        <v>0</v>
      </c>
      <c r="M24" s="320">
        <f>мусор!K10</f>
        <v>0</v>
      </c>
      <c r="N24" s="320">
        <f>мусор!L10</f>
        <v>0</v>
      </c>
      <c r="O24" s="320">
        <f>мусор!M10</f>
        <v>0</v>
      </c>
      <c r="P24" s="230">
        <f t="shared" si="6"/>
        <v>1948179.62</v>
      </c>
      <c r="Q24" s="231">
        <f>C24*$Q$2</f>
        <v>2500000</v>
      </c>
      <c r="R24" s="267">
        <f>Q24-P24</f>
        <v>551820.37999999989</v>
      </c>
    </row>
    <row r="25" spans="1:22" ht="15.6" x14ac:dyDescent="0.3">
      <c r="A25" s="265" t="s">
        <v>37</v>
      </c>
      <c r="B25" s="222">
        <v>9396000</v>
      </c>
      <c r="C25" s="226">
        <f t="shared" si="5"/>
        <v>783000</v>
      </c>
      <c r="D25" s="266"/>
      <c r="E25" s="266">
        <f>783000+783000</f>
        <v>1566000</v>
      </c>
      <c r="F25" s="266">
        <v>783000</v>
      </c>
      <c r="G25" s="266"/>
      <c r="H25" s="266">
        <v>1566000</v>
      </c>
      <c r="I25" s="266">
        <v>783000</v>
      </c>
      <c r="J25" s="266"/>
      <c r="K25" s="266"/>
      <c r="L25" s="266"/>
      <c r="M25" s="266"/>
      <c r="N25" s="266"/>
      <c r="O25" s="266"/>
      <c r="P25" s="230">
        <f t="shared" si="6"/>
        <v>4698000</v>
      </c>
      <c r="Q25" s="231">
        <f t="shared" si="7"/>
        <v>4698000</v>
      </c>
      <c r="R25" s="267">
        <f t="shared" si="8"/>
        <v>0</v>
      </c>
    </row>
    <row r="26" spans="1:22" ht="15.6" x14ac:dyDescent="0.3">
      <c r="A26" s="265" t="s">
        <v>39</v>
      </c>
      <c r="B26" s="222">
        <v>400000</v>
      </c>
      <c r="C26" s="226">
        <f t="shared" si="5"/>
        <v>33333.333333333336</v>
      </c>
      <c r="D26" s="320">
        <f>вода!B31</f>
        <v>32764.799999999999</v>
      </c>
      <c r="E26" s="320">
        <f>вода!C31</f>
        <v>10330</v>
      </c>
      <c r="F26" s="320">
        <f>вода!D31</f>
        <v>168473</v>
      </c>
      <c r="G26" s="320">
        <f>вода!E31</f>
        <v>12721</v>
      </c>
      <c r="H26" s="320">
        <f>вода!F31</f>
        <v>10167</v>
      </c>
      <c r="I26" s="320">
        <f>вода!G31</f>
        <v>10348</v>
      </c>
      <c r="J26" s="320">
        <f>вода!H31</f>
        <v>0</v>
      </c>
      <c r="K26" s="320">
        <f>вода!I31</f>
        <v>0</v>
      </c>
      <c r="L26" s="320">
        <f>вода!J31</f>
        <v>0</v>
      </c>
      <c r="M26" s="320">
        <f>вода!K31</f>
        <v>0</v>
      </c>
      <c r="N26" s="320">
        <f>вода!L31</f>
        <v>0</v>
      </c>
      <c r="O26" s="320">
        <f>вода!M31</f>
        <v>0</v>
      </c>
      <c r="P26" s="230">
        <f t="shared" si="6"/>
        <v>244803.8</v>
      </c>
      <c r="Q26" s="231">
        <f t="shared" si="7"/>
        <v>200000</v>
      </c>
      <c r="R26" s="267">
        <f t="shared" si="8"/>
        <v>-44803.799999999988</v>
      </c>
    </row>
    <row r="27" spans="1:22" ht="15.6" x14ac:dyDescent="0.3">
      <c r="A27" s="265" t="s">
        <v>121</v>
      </c>
      <c r="B27" s="222">
        <v>450000</v>
      </c>
      <c r="C27" s="226">
        <f t="shared" si="5"/>
        <v>37500</v>
      </c>
      <c r="D27" s="320">
        <f>канализация!B64</f>
        <v>362926.76</v>
      </c>
      <c r="E27" s="320">
        <f>канализация!C64</f>
        <v>-71577.38</v>
      </c>
      <c r="F27" s="320">
        <f>канализация!D64</f>
        <v>100581</v>
      </c>
      <c r="G27" s="320">
        <v>19260</v>
      </c>
      <c r="H27" s="320">
        <f>канализация!F64</f>
        <v>64797</v>
      </c>
      <c r="I27" s="320">
        <f>канализация!G64</f>
        <v>116155</v>
      </c>
      <c r="J27" s="320">
        <f>канализация!H64</f>
        <v>0</v>
      </c>
      <c r="K27" s="320">
        <f>канализация!I64</f>
        <v>0</v>
      </c>
      <c r="L27" s="320">
        <f>канализация!J64</f>
        <v>0</v>
      </c>
      <c r="M27" s="320">
        <f>канализация!K64</f>
        <v>0</v>
      </c>
      <c r="N27" s="320">
        <f>канализация!L64</f>
        <v>0</v>
      </c>
      <c r="O27" s="320">
        <f>канализация!M64</f>
        <v>0</v>
      </c>
      <c r="P27" s="230">
        <f t="shared" si="6"/>
        <v>592142.38</v>
      </c>
      <c r="Q27" s="231">
        <f t="shared" si="7"/>
        <v>225000</v>
      </c>
      <c r="R27" s="267">
        <f t="shared" si="8"/>
        <v>-367142.38</v>
      </c>
    </row>
    <row r="28" spans="1:22" ht="15.6" x14ac:dyDescent="0.3">
      <c r="A28" s="265" t="s">
        <v>60</v>
      </c>
      <c r="B28" s="222">
        <v>2100000</v>
      </c>
      <c r="C28" s="226">
        <f t="shared" si="5"/>
        <v>175000</v>
      </c>
      <c r="D28" s="320">
        <f>эл.снабж!B77</f>
        <v>232766.64</v>
      </c>
      <c r="E28" s="320">
        <f>эл.снабж!C77</f>
        <v>279709.18</v>
      </c>
      <c r="F28" s="320">
        <f>эл.снабж!D77</f>
        <v>279624.46000000002</v>
      </c>
      <c r="G28" s="320">
        <v>302425</v>
      </c>
      <c r="H28" s="320">
        <f>эл.снабж!F77</f>
        <v>299153</v>
      </c>
      <c r="I28" s="320">
        <f>эл.снабж!G77</f>
        <v>236063</v>
      </c>
      <c r="J28" s="320">
        <f>эл.снабж!H77</f>
        <v>0</v>
      </c>
      <c r="K28" s="320">
        <f>эл.снабж!I77</f>
        <v>0</v>
      </c>
      <c r="L28" s="320">
        <f>эл.снабж!J77</f>
        <v>0</v>
      </c>
      <c r="M28" s="320">
        <f>эл.снабж!K77</f>
        <v>0</v>
      </c>
      <c r="N28" s="320">
        <f>эл.снабж!L77</f>
        <v>0</v>
      </c>
      <c r="O28" s="320">
        <f>эл.снабж!M77</f>
        <v>0</v>
      </c>
      <c r="P28" s="230">
        <f t="shared" si="6"/>
        <v>1629741.28</v>
      </c>
      <c r="Q28" s="231">
        <f t="shared" si="7"/>
        <v>1050000</v>
      </c>
      <c r="R28" s="267">
        <f t="shared" si="8"/>
        <v>-579741.28</v>
      </c>
      <c r="V28" s="214" t="s">
        <v>61</v>
      </c>
    </row>
    <row r="29" spans="1:22" ht="28.8" x14ac:dyDescent="0.3">
      <c r="A29" s="265" t="s">
        <v>122</v>
      </c>
      <c r="B29" s="222">
        <v>550000</v>
      </c>
      <c r="C29" s="226">
        <f t="shared" si="5"/>
        <v>45833.333333333336</v>
      </c>
      <c r="D29" s="320">
        <f>'спец авто транспорт'!B47</f>
        <v>55368</v>
      </c>
      <c r="E29" s="320">
        <f>'спец авто транспорт'!C47</f>
        <v>83345</v>
      </c>
      <c r="F29" s="320">
        <f>'спец авто транспорт'!D47</f>
        <v>14706.94</v>
      </c>
      <c r="G29" s="320">
        <v>56188</v>
      </c>
      <c r="H29" s="320">
        <f>'спец авто транспорт'!F47</f>
        <v>82864</v>
      </c>
      <c r="I29" s="320">
        <f>'спец авто транспорт'!G47</f>
        <v>42172</v>
      </c>
      <c r="J29" s="320">
        <f>'спец авто транспорт'!H47</f>
        <v>0</v>
      </c>
      <c r="K29" s="320">
        <f>'спец авто транспорт'!I47</f>
        <v>0</v>
      </c>
      <c r="L29" s="320">
        <f>'спец авто транспорт'!J47</f>
        <v>0</v>
      </c>
      <c r="M29" s="320">
        <f>'спец авто транспорт'!K47</f>
        <v>0</v>
      </c>
      <c r="N29" s="320">
        <f>'спец авто транспорт'!L47</f>
        <v>0</v>
      </c>
      <c r="O29" s="320">
        <f>'спец авто транспорт'!M47</f>
        <v>0</v>
      </c>
      <c r="P29" s="230">
        <f t="shared" si="6"/>
        <v>334643.94</v>
      </c>
      <c r="Q29" s="231">
        <f t="shared" si="7"/>
        <v>275000</v>
      </c>
      <c r="R29" s="267">
        <f t="shared" si="8"/>
        <v>-59643.94</v>
      </c>
    </row>
    <row r="30" spans="1:22" ht="15.6" x14ac:dyDescent="0.3">
      <c r="A30" s="265" t="s">
        <v>45</v>
      </c>
      <c r="B30" s="222">
        <v>450000</v>
      </c>
      <c r="C30" s="226">
        <f>B30/12</f>
        <v>37500</v>
      </c>
      <c r="D30" s="320">
        <f>'благ-во'!B62</f>
        <v>82340</v>
      </c>
      <c r="E30" s="320">
        <f>'благ-во'!C62</f>
        <v>0</v>
      </c>
      <c r="F30" s="320">
        <f>'благ-во'!D62</f>
        <v>0</v>
      </c>
      <c r="G30" s="320">
        <v>68000</v>
      </c>
      <c r="H30" s="320">
        <f>'благ-во'!F62</f>
        <v>0</v>
      </c>
      <c r="I30" s="320">
        <f>'благ-во'!G62</f>
        <v>20630</v>
      </c>
      <c r="J30" s="320">
        <f>'благ-во'!H62</f>
        <v>0</v>
      </c>
      <c r="K30" s="320">
        <f>'благ-во'!I62</f>
        <v>0</v>
      </c>
      <c r="L30" s="320">
        <f>'благ-во'!J62</f>
        <v>0</v>
      </c>
      <c r="M30" s="320">
        <f>'благ-во'!K62</f>
        <v>0</v>
      </c>
      <c r="N30" s="320">
        <f>'благ-во'!L62</f>
        <v>0</v>
      </c>
      <c r="O30" s="320">
        <f>'благ-во'!M62</f>
        <v>0</v>
      </c>
      <c r="P30" s="230">
        <f t="shared" si="6"/>
        <v>170970</v>
      </c>
      <c r="Q30" s="231">
        <f t="shared" si="7"/>
        <v>225000</v>
      </c>
      <c r="R30" s="267">
        <f t="shared" ref="R30" si="9">Q30-P30</f>
        <v>54030</v>
      </c>
    </row>
    <row r="31" spans="1:22" ht="28.8" x14ac:dyDescent="0.3">
      <c r="A31" s="265" t="s">
        <v>141</v>
      </c>
      <c r="B31" s="222">
        <v>3100000</v>
      </c>
      <c r="C31" s="226">
        <f t="shared" si="5"/>
        <v>258333.33333333334</v>
      </c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30">
        <f t="shared" si="6"/>
        <v>0</v>
      </c>
      <c r="Q31" s="316" t="s">
        <v>123</v>
      </c>
      <c r="R31" s="319">
        <f>B31-P31</f>
        <v>3100000</v>
      </c>
    </row>
    <row r="32" spans="1:22" ht="15.6" x14ac:dyDescent="0.3">
      <c r="A32" s="265" t="s">
        <v>62</v>
      </c>
      <c r="B32" s="222">
        <v>800000</v>
      </c>
      <c r="C32" s="226">
        <f t="shared" si="5"/>
        <v>66666.666666666672</v>
      </c>
      <c r="D32" s="266"/>
      <c r="E32" s="266">
        <f>104000+696000</f>
        <v>800000</v>
      </c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30">
        <f t="shared" si="6"/>
        <v>800000</v>
      </c>
      <c r="Q32" s="316" t="s">
        <v>123</v>
      </c>
      <c r="R32" s="319">
        <f t="shared" ref="R32:R34" si="10">B32-P32</f>
        <v>0</v>
      </c>
    </row>
    <row r="33" spans="1:19" ht="15.6" x14ac:dyDescent="0.3">
      <c r="A33" s="265" t="s">
        <v>139</v>
      </c>
      <c r="B33" s="233">
        <v>100000</v>
      </c>
      <c r="C33" s="226">
        <f t="shared" si="5"/>
        <v>8333.3333333333339</v>
      </c>
      <c r="D33" s="270"/>
      <c r="E33" s="270">
        <f>87000+13000</f>
        <v>100000</v>
      </c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30">
        <f t="shared" si="6"/>
        <v>100000</v>
      </c>
      <c r="Q33" s="383" t="s">
        <v>123</v>
      </c>
      <c r="R33" s="319">
        <f t="shared" si="10"/>
        <v>0</v>
      </c>
    </row>
    <row r="34" spans="1:19" ht="15.6" x14ac:dyDescent="0.3">
      <c r="A34" s="269" t="s">
        <v>63</v>
      </c>
      <c r="B34" s="233">
        <v>241600</v>
      </c>
      <c r="C34" s="226">
        <f t="shared" si="5"/>
        <v>20133.333333333332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30">
        <f t="shared" si="6"/>
        <v>0</v>
      </c>
      <c r="Q34" s="316" t="s">
        <v>123</v>
      </c>
      <c r="R34" s="319">
        <f t="shared" si="10"/>
        <v>241600</v>
      </c>
    </row>
    <row r="35" spans="1:19" ht="15.6" x14ac:dyDescent="0.3">
      <c r="A35" s="269" t="s">
        <v>140</v>
      </c>
      <c r="B35" s="233">
        <v>30200</v>
      </c>
      <c r="C35" s="234">
        <f t="shared" si="5"/>
        <v>2516.6666666666665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364"/>
      <c r="Q35" s="365"/>
      <c r="R35" s="366"/>
    </row>
    <row r="36" spans="1:19" ht="16.2" thickBot="1" x14ac:dyDescent="0.35">
      <c r="A36" s="295" t="s">
        <v>47</v>
      </c>
      <c r="B36" s="272">
        <v>2358504</v>
      </c>
      <c r="C36" s="273">
        <f t="shared" si="5"/>
        <v>196542</v>
      </c>
      <c r="D36" s="323">
        <f>'рез фонд'!B55</f>
        <v>0</v>
      </c>
      <c r="E36" s="323">
        <f>'рез фонд'!C55</f>
        <v>0</v>
      </c>
      <c r="F36" s="323">
        <f>'рез фонд'!D55</f>
        <v>120000</v>
      </c>
      <c r="G36" s="323">
        <f>'рез фонд'!E55</f>
        <v>0</v>
      </c>
      <c r="H36" s="323">
        <v>476232</v>
      </c>
      <c r="I36" s="323">
        <f>'рез фонд'!G55</f>
        <v>441488</v>
      </c>
      <c r="J36" s="323">
        <f>'рез фонд'!H55</f>
        <v>0</v>
      </c>
      <c r="K36" s="323">
        <f>'рез фонд'!I55</f>
        <v>0</v>
      </c>
      <c r="L36" s="323">
        <f>'рез фонд'!J55</f>
        <v>0</v>
      </c>
      <c r="M36" s="323">
        <f>'рез фонд'!K55</f>
        <v>0</v>
      </c>
      <c r="N36" s="323">
        <f>'рез фонд'!L55</f>
        <v>0</v>
      </c>
      <c r="O36" s="323">
        <f>'рез фонд'!M55</f>
        <v>0</v>
      </c>
      <c r="P36" s="275">
        <f t="shared" si="6"/>
        <v>1037720</v>
      </c>
      <c r="Q36" s="317" t="s">
        <v>123</v>
      </c>
      <c r="R36" s="318">
        <f t="shared" ref="R36" si="11">B36-P36</f>
        <v>1320784</v>
      </c>
      <c r="S36" s="271"/>
    </row>
    <row r="37" spans="1:19" ht="31.2" x14ac:dyDescent="0.3">
      <c r="A37" s="296" t="s">
        <v>64</v>
      </c>
      <c r="B37" s="289">
        <f t="shared" ref="B37:P37" si="12">SUM(B18:B36)</f>
        <v>41666904</v>
      </c>
      <c r="C37" s="289">
        <f t="shared" si="12"/>
        <v>3472242.0000000005</v>
      </c>
      <c r="D37" s="289">
        <f t="shared" si="12"/>
        <v>2548504.3000000003</v>
      </c>
      <c r="E37" s="289">
        <f t="shared" si="12"/>
        <v>4903578.29</v>
      </c>
      <c r="F37" s="289">
        <f t="shared" si="12"/>
        <v>2798348.96</v>
      </c>
      <c r="G37" s="289">
        <f t="shared" si="12"/>
        <v>2318915</v>
      </c>
      <c r="H37" s="289">
        <f t="shared" si="12"/>
        <v>4079355</v>
      </c>
      <c r="I37" s="289">
        <f t="shared" si="12"/>
        <v>3543577</v>
      </c>
      <c r="J37" s="289">
        <f t="shared" si="12"/>
        <v>0</v>
      </c>
      <c r="K37" s="289">
        <f t="shared" si="12"/>
        <v>0</v>
      </c>
      <c r="L37" s="289">
        <f t="shared" si="12"/>
        <v>0</v>
      </c>
      <c r="M37" s="289">
        <f t="shared" si="12"/>
        <v>0</v>
      </c>
      <c r="N37" s="289">
        <f t="shared" si="12"/>
        <v>0</v>
      </c>
      <c r="O37" s="289">
        <f t="shared" si="12"/>
        <v>0</v>
      </c>
      <c r="P37" s="289">
        <f t="shared" si="12"/>
        <v>20192278.550000004</v>
      </c>
      <c r="Q37" s="289" t="s">
        <v>123</v>
      </c>
      <c r="R37" s="289">
        <f>SUM(R18:R36)</f>
        <v>3926125.4499999993</v>
      </c>
      <c r="S37" s="271"/>
    </row>
    <row r="38" spans="1:19" ht="15.6" x14ac:dyDescent="0.3">
      <c r="A38" s="290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1"/>
    </row>
    <row r="39" spans="1:19" ht="15.6" x14ac:dyDescent="0.3">
      <c r="A39" s="293" t="s">
        <v>66</v>
      </c>
      <c r="B39" s="222">
        <v>7560000</v>
      </c>
      <c r="C39" s="226">
        <f t="shared" ref="C39:C44" si="13">B39/12</f>
        <v>630000</v>
      </c>
      <c r="D39" s="266"/>
      <c r="E39" s="266"/>
      <c r="F39" s="266">
        <f>319494.24+177975</f>
        <v>497469.24</v>
      </c>
      <c r="G39" s="266">
        <v>2302175</v>
      </c>
      <c r="H39" s="266"/>
      <c r="I39" s="266">
        <v>608700</v>
      </c>
      <c r="J39" s="266"/>
      <c r="K39" s="266"/>
      <c r="L39" s="266"/>
      <c r="M39" s="266"/>
      <c r="N39" s="266"/>
      <c r="O39" s="266"/>
      <c r="P39" s="230">
        <f>SUM(D39:O39)</f>
        <v>3408344.24</v>
      </c>
      <c r="Q39" s="319" t="s">
        <v>123</v>
      </c>
      <c r="R39" s="291">
        <f t="shared" ref="R39:R44" si="14">B39-P39</f>
        <v>4151655.76</v>
      </c>
    </row>
    <row r="40" spans="1:19" ht="15.6" x14ac:dyDescent="0.3">
      <c r="A40" s="220" t="s">
        <v>142</v>
      </c>
      <c r="B40" s="252">
        <v>274000</v>
      </c>
      <c r="C40" s="226">
        <f t="shared" si="13"/>
        <v>22833.333333333332</v>
      </c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30">
        <f t="shared" ref="P40:P44" si="15">SUM(D40:O40)</f>
        <v>0</v>
      </c>
      <c r="Q40" s="316" t="s">
        <v>123</v>
      </c>
      <c r="R40" s="291">
        <f t="shared" si="14"/>
        <v>274000</v>
      </c>
    </row>
    <row r="41" spans="1:19" ht="15.6" x14ac:dyDescent="0.3">
      <c r="A41" s="220" t="s">
        <v>143</v>
      </c>
      <c r="B41" s="252">
        <v>300000</v>
      </c>
      <c r="C41" s="226">
        <f t="shared" si="13"/>
        <v>25000</v>
      </c>
      <c r="D41" s="268">
        <v>150000</v>
      </c>
      <c r="E41" s="268"/>
      <c r="F41" s="268">
        <v>150000</v>
      </c>
      <c r="G41" s="268"/>
      <c r="H41" s="268"/>
      <c r="I41" s="268"/>
      <c r="J41" s="268"/>
      <c r="K41" s="268"/>
      <c r="L41" s="268"/>
      <c r="M41" s="268"/>
      <c r="N41" s="268"/>
      <c r="O41" s="268"/>
      <c r="P41" s="230">
        <f t="shared" si="15"/>
        <v>300000</v>
      </c>
      <c r="Q41" s="316" t="s">
        <v>123</v>
      </c>
      <c r="R41" s="291">
        <f t="shared" si="14"/>
        <v>0</v>
      </c>
    </row>
    <row r="42" spans="1:19" ht="15.6" x14ac:dyDescent="0.3">
      <c r="A42" s="265" t="s">
        <v>144</v>
      </c>
      <c r="B42" s="222">
        <v>2800000</v>
      </c>
      <c r="C42" s="226">
        <f t="shared" si="13"/>
        <v>233333.33333333334</v>
      </c>
      <c r="D42" s="266">
        <v>1500000</v>
      </c>
      <c r="E42" s="266"/>
      <c r="F42" s="266">
        <f>1500000+515000+40000-800000+4165.6+400+10300</f>
        <v>1269865.6000000001</v>
      </c>
      <c r="G42" s="266"/>
      <c r="H42" s="266"/>
      <c r="I42" s="266"/>
      <c r="J42" s="266"/>
      <c r="K42" s="266"/>
      <c r="L42" s="266"/>
      <c r="M42" s="266"/>
      <c r="N42" s="266"/>
      <c r="O42" s="266"/>
      <c r="P42" s="230">
        <f t="shared" si="15"/>
        <v>2769865.6</v>
      </c>
      <c r="Q42" s="316" t="s">
        <v>123</v>
      </c>
      <c r="R42" s="291">
        <f t="shared" si="14"/>
        <v>30134.399999999907</v>
      </c>
    </row>
    <row r="43" spans="1:19" ht="15.6" x14ac:dyDescent="0.3">
      <c r="A43" s="265" t="s">
        <v>145</v>
      </c>
      <c r="B43" s="222">
        <v>800000</v>
      </c>
      <c r="C43" s="226">
        <f>B43/12</f>
        <v>66666.666666666672</v>
      </c>
      <c r="D43" s="266"/>
      <c r="E43" s="266"/>
      <c r="F43" s="266">
        <v>800000</v>
      </c>
      <c r="G43" s="266"/>
      <c r="H43" s="266"/>
      <c r="I43" s="266"/>
      <c r="J43" s="266"/>
      <c r="K43" s="266"/>
      <c r="L43" s="266"/>
      <c r="M43" s="266"/>
      <c r="N43" s="266"/>
      <c r="O43" s="266"/>
      <c r="P43" s="230">
        <f t="shared" si="15"/>
        <v>800000</v>
      </c>
      <c r="Q43" s="316" t="s">
        <v>123</v>
      </c>
      <c r="R43" s="291">
        <f t="shared" si="14"/>
        <v>0</v>
      </c>
    </row>
    <row r="44" spans="1:19" ht="15.6" x14ac:dyDescent="0.3">
      <c r="A44" s="265" t="s">
        <v>146</v>
      </c>
      <c r="B44" s="222">
        <v>350000</v>
      </c>
      <c r="C44" s="226">
        <f t="shared" si="13"/>
        <v>29166.666666666668</v>
      </c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30">
        <f t="shared" si="15"/>
        <v>0</v>
      </c>
      <c r="Q44" s="316" t="s">
        <v>123</v>
      </c>
      <c r="R44" s="291">
        <f t="shared" si="14"/>
        <v>350000</v>
      </c>
    </row>
    <row r="45" spans="1:19" ht="16.2" thickBot="1" x14ac:dyDescent="0.35">
      <c r="A45" s="265" t="s">
        <v>147</v>
      </c>
      <c r="B45" s="222">
        <v>250000</v>
      </c>
      <c r="C45" s="226">
        <f t="shared" ref="C45" si="16">B45/12</f>
        <v>20833.333333333332</v>
      </c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5"/>
      <c r="Q45" s="318"/>
      <c r="R45" s="297"/>
    </row>
    <row r="46" spans="1:19" ht="31.2" x14ac:dyDescent="0.3">
      <c r="A46" s="294" t="s">
        <v>65</v>
      </c>
      <c r="B46" s="289">
        <f t="shared" ref="B46:P46" si="17">SUM(B39:B45)</f>
        <v>12334000</v>
      </c>
      <c r="C46" s="289">
        <f t="shared" si="17"/>
        <v>1027833.3333333334</v>
      </c>
      <c r="D46" s="289">
        <f t="shared" si="17"/>
        <v>1650000</v>
      </c>
      <c r="E46" s="289">
        <f t="shared" si="17"/>
        <v>0</v>
      </c>
      <c r="F46" s="289">
        <f t="shared" si="17"/>
        <v>2717334.84</v>
      </c>
      <c r="G46" s="289">
        <f t="shared" si="17"/>
        <v>2302175</v>
      </c>
      <c r="H46" s="289">
        <f t="shared" si="17"/>
        <v>0</v>
      </c>
      <c r="I46" s="289">
        <f t="shared" si="17"/>
        <v>608700</v>
      </c>
      <c r="J46" s="289">
        <f t="shared" si="17"/>
        <v>0</v>
      </c>
      <c r="K46" s="289">
        <f t="shared" si="17"/>
        <v>0</v>
      </c>
      <c r="L46" s="289">
        <f t="shared" si="17"/>
        <v>0</v>
      </c>
      <c r="M46" s="289">
        <f t="shared" si="17"/>
        <v>0</v>
      </c>
      <c r="N46" s="289">
        <f t="shared" si="17"/>
        <v>0</v>
      </c>
      <c r="O46" s="289">
        <f t="shared" si="17"/>
        <v>0</v>
      </c>
      <c r="P46" s="289">
        <f t="shared" si="17"/>
        <v>7278209.8399999999</v>
      </c>
      <c r="Q46" s="289" t="s">
        <v>123</v>
      </c>
      <c r="R46" s="289">
        <f>SUM(R39:R45)</f>
        <v>4805790.16</v>
      </c>
      <c r="S46" s="271"/>
    </row>
    <row r="47" spans="1:19" ht="15.6" x14ac:dyDescent="0.3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71"/>
    </row>
    <row r="48" spans="1:19" ht="15.6" x14ac:dyDescent="0.3">
      <c r="A48" s="292" t="s">
        <v>48</v>
      </c>
      <c r="B48" s="222">
        <f t="shared" ref="B48:P48" si="18">B37+B46</f>
        <v>54000904</v>
      </c>
      <c r="C48" s="226">
        <f t="shared" si="18"/>
        <v>4500075.333333334</v>
      </c>
      <c r="D48" s="222">
        <f t="shared" si="18"/>
        <v>4198504.3000000007</v>
      </c>
      <c r="E48" s="222">
        <f t="shared" si="18"/>
        <v>4903578.29</v>
      </c>
      <c r="F48" s="222">
        <f t="shared" si="18"/>
        <v>5515683.7999999998</v>
      </c>
      <c r="G48" s="222">
        <f>G37+G46</f>
        <v>4621090</v>
      </c>
      <c r="H48" s="222">
        <f t="shared" si="18"/>
        <v>4079355</v>
      </c>
      <c r="I48" s="222">
        <f t="shared" si="18"/>
        <v>4152277</v>
      </c>
      <c r="J48" s="222">
        <f t="shared" si="18"/>
        <v>0</v>
      </c>
      <c r="K48" s="222">
        <f t="shared" si="18"/>
        <v>0</v>
      </c>
      <c r="L48" s="222">
        <f t="shared" si="18"/>
        <v>0</v>
      </c>
      <c r="M48" s="222">
        <f t="shared" si="18"/>
        <v>0</v>
      </c>
      <c r="N48" s="222">
        <f t="shared" si="18"/>
        <v>0</v>
      </c>
      <c r="O48" s="222">
        <f t="shared" si="18"/>
        <v>0</v>
      </c>
      <c r="P48" s="222">
        <f t="shared" si="18"/>
        <v>27470488.390000004</v>
      </c>
      <c r="Q48" s="222" t="s">
        <v>123</v>
      </c>
      <c r="R48" s="267">
        <f>R37+R46</f>
        <v>8731915.6099999994</v>
      </c>
    </row>
    <row r="49" spans="1:19" ht="15.6" x14ac:dyDescent="0.3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84"/>
      <c r="R49" s="212"/>
    </row>
    <row r="50" spans="1:19" s="288" customFormat="1" ht="24.75" customHeight="1" x14ac:dyDescent="0.3">
      <c r="A50" s="285" t="s">
        <v>116</v>
      </c>
      <c r="B50" s="286"/>
      <c r="C50" s="286"/>
      <c r="D50" s="287">
        <v>1480675.35</v>
      </c>
      <c r="E50" s="287">
        <v>317648.90000000002</v>
      </c>
      <c r="F50" s="287">
        <v>1373865.95</v>
      </c>
      <c r="G50" s="287">
        <v>967202</v>
      </c>
      <c r="H50" s="287">
        <v>1176497</v>
      </c>
      <c r="I50" s="287">
        <v>1284924</v>
      </c>
      <c r="J50" s="287"/>
      <c r="K50" s="287"/>
      <c r="L50" s="287"/>
      <c r="M50" s="287"/>
      <c r="N50" s="287"/>
      <c r="O50" s="358"/>
      <c r="P50" s="206"/>
      <c r="Q50" s="206"/>
      <c r="R50" s="206"/>
    </row>
    <row r="51" spans="1:19" s="207" customFormat="1" ht="15.6" x14ac:dyDescent="0.3">
      <c r="A51" s="360"/>
      <c r="B51" s="385" t="s">
        <v>218</v>
      </c>
      <c r="C51" s="385"/>
      <c r="D51" s="386"/>
      <c r="E51" s="386">
        <v>2000000</v>
      </c>
      <c r="F51" s="386">
        <v>-2000000</v>
      </c>
      <c r="G51" s="386"/>
      <c r="H51" s="386"/>
      <c r="I51" s="386"/>
      <c r="J51" s="386"/>
      <c r="K51" s="386"/>
      <c r="L51" s="386"/>
      <c r="M51" s="386"/>
      <c r="N51" s="386"/>
      <c r="O51" s="386"/>
      <c r="P51" s="359"/>
      <c r="Q51" s="359"/>
      <c r="R51" s="359"/>
      <c r="S51" s="362"/>
    </row>
    <row r="52" spans="1:19" ht="15.6" x14ac:dyDescent="0.3">
      <c r="A52" s="279"/>
      <c r="B52" s="276"/>
      <c r="C52" s="276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359"/>
      <c r="Q52" s="359"/>
      <c r="R52" s="359"/>
    </row>
    <row r="53" spans="1:19" s="210" customFormat="1" ht="15.6" x14ac:dyDescent="0.3">
      <c r="A53" s="209"/>
      <c r="B53" s="442" t="s">
        <v>131</v>
      </c>
      <c r="C53" s="280" t="s">
        <v>132</v>
      </c>
      <c r="D53" s="281">
        <v>10300</v>
      </c>
      <c r="E53" s="281">
        <v>8400</v>
      </c>
      <c r="F53" s="281">
        <v>42000</v>
      </c>
      <c r="G53" s="281">
        <v>36700</v>
      </c>
      <c r="H53" s="281">
        <v>200</v>
      </c>
      <c r="I53" s="281"/>
      <c r="J53" s="281"/>
      <c r="K53" s="281"/>
      <c r="L53" s="281"/>
      <c r="M53" s="281"/>
      <c r="N53" s="281"/>
      <c r="O53" s="281"/>
      <c r="P53" s="359"/>
      <c r="Q53" s="359"/>
      <c r="R53" s="359"/>
    </row>
    <row r="54" spans="1:19" s="210" customFormat="1" ht="15.6" x14ac:dyDescent="0.3">
      <c r="A54" s="209"/>
      <c r="B54" s="442"/>
      <c r="C54" s="280" t="s">
        <v>133</v>
      </c>
      <c r="D54" s="281">
        <v>8400</v>
      </c>
      <c r="E54" s="281">
        <v>42000</v>
      </c>
      <c r="F54" s="404">
        <v>36700</v>
      </c>
      <c r="G54" s="281">
        <v>200</v>
      </c>
      <c r="H54" s="281"/>
      <c r="I54" s="281">
        <v>25000</v>
      </c>
      <c r="J54" s="281"/>
      <c r="K54" s="281"/>
      <c r="L54" s="281"/>
      <c r="M54" s="281"/>
      <c r="N54" s="281"/>
      <c r="O54" s="281"/>
      <c r="P54" s="359"/>
      <c r="Q54" s="359"/>
      <c r="R54" s="359"/>
    </row>
    <row r="55" spans="1:19" s="395" customFormat="1" ht="15.6" x14ac:dyDescent="0.3">
      <c r="A55" s="389"/>
      <c r="B55" s="390"/>
      <c r="C55" s="391"/>
      <c r="D55" s="392"/>
      <c r="E55" s="392"/>
      <c r="F55" s="393"/>
      <c r="G55" s="392"/>
      <c r="H55" s="392"/>
      <c r="I55" s="392"/>
      <c r="J55" s="392"/>
      <c r="K55" s="392"/>
      <c r="L55" s="392"/>
      <c r="M55" s="392"/>
      <c r="N55" s="392"/>
      <c r="O55" s="392"/>
      <c r="P55" s="394"/>
      <c r="Q55" s="394"/>
      <c r="R55" s="394"/>
    </row>
    <row r="56" spans="1:19" s="395" customFormat="1" ht="15.6" x14ac:dyDescent="0.3">
      <c r="A56" s="389"/>
      <c r="B56" s="446" t="s">
        <v>219</v>
      </c>
      <c r="C56" s="396"/>
      <c r="D56" s="397"/>
      <c r="E56" s="397"/>
      <c r="F56" s="398">
        <v>0</v>
      </c>
      <c r="G56" s="397">
        <v>241290</v>
      </c>
      <c r="H56" s="397">
        <v>80600</v>
      </c>
      <c r="I56" s="397">
        <v>20980</v>
      </c>
      <c r="J56" s="397"/>
      <c r="K56" s="397"/>
      <c r="L56" s="397"/>
      <c r="M56" s="397"/>
      <c r="N56" s="397"/>
      <c r="O56" s="397"/>
      <c r="P56" s="394"/>
      <c r="Q56" s="394"/>
      <c r="R56" s="394"/>
    </row>
    <row r="57" spans="1:19" s="395" customFormat="1" ht="15.6" x14ac:dyDescent="0.3">
      <c r="A57" s="389"/>
      <c r="B57" s="446"/>
      <c r="C57" s="396"/>
      <c r="D57" s="397"/>
      <c r="E57" s="397"/>
      <c r="F57" s="398">
        <v>241290</v>
      </c>
      <c r="G57" s="397">
        <v>80600</v>
      </c>
      <c r="H57" s="397">
        <v>20980</v>
      </c>
      <c r="I57" s="397">
        <v>75870</v>
      </c>
      <c r="J57" s="397"/>
      <c r="K57" s="397"/>
      <c r="L57" s="397"/>
      <c r="M57" s="397"/>
      <c r="N57" s="397"/>
      <c r="O57" s="397"/>
      <c r="P57" s="394"/>
      <c r="Q57" s="394"/>
      <c r="R57" s="394"/>
    </row>
    <row r="58" spans="1:19" s="362" customFormat="1" ht="15.6" x14ac:dyDescent="0.3">
      <c r="A58" s="360"/>
      <c r="B58" s="359"/>
      <c r="C58" s="359"/>
      <c r="D58" s="361"/>
      <c r="E58" s="361"/>
      <c r="F58" s="361"/>
      <c r="G58" s="361"/>
      <c r="H58" s="361"/>
      <c r="I58" s="361"/>
      <c r="J58" s="361"/>
      <c r="K58" s="361"/>
      <c r="L58" s="361"/>
      <c r="M58" s="361"/>
      <c r="N58" s="361"/>
      <c r="O58" s="361"/>
      <c r="P58" s="359"/>
      <c r="Q58" s="359"/>
      <c r="R58" s="359"/>
    </row>
    <row r="59" spans="1:19" s="207" customFormat="1" ht="15.6" x14ac:dyDescent="0.3">
      <c r="A59" s="360"/>
      <c r="B59" s="443" t="s">
        <v>134</v>
      </c>
      <c r="C59" s="282" t="s">
        <v>132</v>
      </c>
      <c r="D59" s="357">
        <v>-3608</v>
      </c>
      <c r="E59" s="357">
        <f>D60</f>
        <v>-981.49</v>
      </c>
      <c r="F59" s="357">
        <v>0</v>
      </c>
      <c r="G59" s="357"/>
      <c r="H59" s="357"/>
      <c r="I59" s="357"/>
      <c r="J59" s="357"/>
      <c r="K59" s="357"/>
      <c r="L59" s="357"/>
      <c r="M59" s="357"/>
      <c r="N59" s="357"/>
      <c r="O59" s="357"/>
      <c r="P59" s="359"/>
      <c r="Q59" s="359"/>
      <c r="R59" s="359"/>
      <c r="S59" s="362"/>
    </row>
    <row r="60" spans="1:19" s="207" customFormat="1" ht="15.6" x14ac:dyDescent="0.3">
      <c r="A60" s="360"/>
      <c r="B60" s="443"/>
      <c r="C60" s="282" t="s">
        <v>133</v>
      </c>
      <c r="D60" s="357">
        <v>-981.49</v>
      </c>
      <c r="E60" s="357">
        <v>0</v>
      </c>
      <c r="F60" s="357">
        <v>-145</v>
      </c>
      <c r="G60" s="357"/>
      <c r="H60" s="357"/>
      <c r="I60" s="357">
        <v>0</v>
      </c>
      <c r="J60" s="357"/>
      <c r="K60" s="357"/>
      <c r="L60" s="357"/>
      <c r="M60" s="357"/>
      <c r="N60" s="357"/>
      <c r="O60" s="357"/>
      <c r="P60" s="359"/>
      <c r="Q60" s="359"/>
      <c r="R60" s="359"/>
      <c r="S60" s="362"/>
    </row>
    <row r="61" spans="1:19" s="362" customFormat="1" ht="15.6" x14ac:dyDescent="0.3">
      <c r="A61" s="360"/>
      <c r="B61" s="359"/>
      <c r="C61" s="359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  <c r="P61" s="359"/>
      <c r="Q61" s="359"/>
      <c r="R61" s="359"/>
    </row>
    <row r="62" spans="1:19" s="362" customFormat="1" ht="15.6" x14ac:dyDescent="0.3">
      <c r="A62" s="360"/>
      <c r="B62" s="441" t="s">
        <v>135</v>
      </c>
      <c r="C62" s="387" t="s">
        <v>136</v>
      </c>
      <c r="D62" s="377">
        <v>3470709.04</v>
      </c>
      <c r="E62" s="377">
        <v>5839570.7300000004</v>
      </c>
      <c r="F62" s="377">
        <v>6572045.8499999996</v>
      </c>
      <c r="G62" s="377">
        <v>4214426</v>
      </c>
      <c r="H62" s="377">
        <v>4288650</v>
      </c>
      <c r="I62" s="377">
        <v>4260703</v>
      </c>
      <c r="J62" s="377"/>
      <c r="K62" s="377"/>
      <c r="L62" s="377"/>
      <c r="M62" s="377"/>
      <c r="N62" s="377"/>
      <c r="O62" s="377"/>
      <c r="P62" s="359"/>
      <c r="Q62" s="359"/>
      <c r="R62" s="359"/>
    </row>
    <row r="63" spans="1:19" s="362" customFormat="1" ht="15.6" x14ac:dyDescent="0.3">
      <c r="A63" s="360"/>
      <c r="B63" s="441"/>
      <c r="C63" s="387" t="s">
        <v>137</v>
      </c>
      <c r="D63" s="377">
        <v>4198917.79</v>
      </c>
      <c r="E63" s="377">
        <v>7002597.1799999997</v>
      </c>
      <c r="F63" s="377">
        <v>5515828.7999999998</v>
      </c>
      <c r="G63" s="377">
        <v>4621090</v>
      </c>
      <c r="H63" s="377">
        <v>4079355</v>
      </c>
      <c r="I63" s="377">
        <v>4152277</v>
      </c>
      <c r="J63" s="377"/>
      <c r="K63" s="377"/>
      <c r="L63" s="377"/>
      <c r="M63" s="377"/>
      <c r="N63" s="377"/>
      <c r="O63" s="377"/>
      <c r="P63" s="359"/>
      <c r="Q63" s="359"/>
      <c r="R63" s="359"/>
    </row>
    <row r="64" spans="1:19" s="362" customFormat="1" ht="15.6" x14ac:dyDescent="0.3">
      <c r="A64" s="360"/>
      <c r="B64" s="359"/>
      <c r="C64" s="359"/>
      <c r="D64" s="361"/>
      <c r="E64" s="361"/>
      <c r="F64" s="361"/>
      <c r="G64" s="361"/>
      <c r="H64" s="361"/>
      <c r="I64" s="361"/>
      <c r="J64" s="361"/>
      <c r="K64" s="361"/>
      <c r="L64" s="361"/>
      <c r="M64" s="361"/>
      <c r="N64" s="361"/>
      <c r="O64" s="361"/>
      <c r="P64" s="359"/>
      <c r="Q64" s="359"/>
      <c r="R64" s="359"/>
    </row>
    <row r="65" spans="1:19" s="362" customFormat="1" ht="15.6" x14ac:dyDescent="0.3">
      <c r="A65" s="360"/>
      <c r="B65" s="445" t="s">
        <v>187</v>
      </c>
      <c r="C65" s="445"/>
      <c r="D65" s="377">
        <v>0</v>
      </c>
      <c r="E65" s="377">
        <v>100000</v>
      </c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59"/>
      <c r="Q65" s="359"/>
      <c r="R65" s="359"/>
    </row>
    <row r="66" spans="1:19" s="362" customFormat="1" ht="15.6" x14ac:dyDescent="0.3">
      <c r="A66" s="360"/>
      <c r="B66" s="444" t="s">
        <v>161</v>
      </c>
      <c r="C66" s="399" t="s">
        <v>136</v>
      </c>
      <c r="D66" s="400">
        <f>D62-D15</f>
        <v>0</v>
      </c>
      <c r="E66" s="400">
        <f>E62-E15+канализация!C12-E65</f>
        <v>8.149072527885437E-10</v>
      </c>
      <c r="F66" s="400">
        <f>F62-F15-F65+F51</f>
        <v>0</v>
      </c>
      <c r="G66" s="400"/>
      <c r="H66" s="400"/>
      <c r="I66" s="400"/>
      <c r="J66" s="400"/>
      <c r="K66" s="400"/>
      <c r="L66" s="400"/>
      <c r="M66" s="400"/>
      <c r="N66" s="400"/>
      <c r="O66" s="400"/>
      <c r="P66" s="359"/>
      <c r="Q66" s="359"/>
      <c r="R66" s="359"/>
    </row>
    <row r="67" spans="1:19" s="361" customFormat="1" ht="15.6" x14ac:dyDescent="0.3">
      <c r="B67" s="444"/>
      <c r="C67" s="399" t="s">
        <v>137</v>
      </c>
      <c r="D67" s="400">
        <f>D63-D48+D60-D59-D12</f>
        <v>-7.0758687797933817E-10</v>
      </c>
      <c r="E67" s="400">
        <f>E63-E48+E60-E59-E12-E51-E65</f>
        <v>0.37999999988824129</v>
      </c>
      <c r="F67" s="400">
        <f>F63-F48+F60-F59-F12-F65</f>
        <v>0</v>
      </c>
      <c r="G67" s="400">
        <f t="shared" ref="G67:O67" si="19">G63-G48+G60-G59-G12</f>
        <v>0</v>
      </c>
      <c r="H67" s="400">
        <f t="shared" si="19"/>
        <v>0</v>
      </c>
      <c r="I67" s="400">
        <f t="shared" si="19"/>
        <v>0</v>
      </c>
      <c r="J67" s="400">
        <f t="shared" si="19"/>
        <v>0</v>
      </c>
      <c r="K67" s="400">
        <f t="shared" si="19"/>
        <v>0</v>
      </c>
      <c r="L67" s="400">
        <f t="shared" si="19"/>
        <v>0</v>
      </c>
      <c r="M67" s="400">
        <f t="shared" si="19"/>
        <v>0</v>
      </c>
      <c r="N67" s="400">
        <f t="shared" si="19"/>
        <v>0</v>
      </c>
      <c r="O67" s="400">
        <f t="shared" si="19"/>
        <v>0</v>
      </c>
      <c r="P67" s="363"/>
    </row>
    <row r="68" spans="1:19" s="376" customFormat="1" x14ac:dyDescent="0.3">
      <c r="A68" s="373"/>
      <c r="B68" s="444"/>
      <c r="C68" s="401" t="s">
        <v>184</v>
      </c>
      <c r="D68" s="402">
        <f>B4+D15-D48-D50-D59+D60-D12</f>
        <v>-2.4192559067159891E-10</v>
      </c>
      <c r="E68" s="402">
        <f>D50+E15-E48-E50-E59+E60-E12-E51-канализация!C12</f>
        <v>0.37999999930616468</v>
      </c>
      <c r="F68" s="402">
        <f>E50+F15-F48-F50-F59+F60-F12+F65-F51</f>
        <v>0</v>
      </c>
      <c r="G68" s="402"/>
      <c r="H68" s="402"/>
      <c r="I68" s="402"/>
      <c r="J68" s="402"/>
      <c r="K68" s="402"/>
      <c r="L68" s="402"/>
      <c r="M68" s="402"/>
      <c r="N68" s="402"/>
      <c r="O68" s="402"/>
      <c r="P68" s="374"/>
      <c r="Q68" s="374"/>
      <c r="R68" s="374"/>
    </row>
    <row r="69" spans="1:19" s="376" customFormat="1" x14ac:dyDescent="0.3">
      <c r="A69" s="373"/>
      <c r="B69" s="374"/>
      <c r="C69" s="374"/>
      <c r="D69" s="375"/>
      <c r="E69" s="375"/>
      <c r="F69" s="375"/>
      <c r="G69" s="375"/>
      <c r="H69" s="375"/>
      <c r="I69" s="375"/>
      <c r="J69" s="375"/>
      <c r="K69" s="375"/>
      <c r="L69" s="388"/>
      <c r="M69" s="375"/>
      <c r="N69" s="375"/>
      <c r="O69" s="375"/>
      <c r="P69" s="374"/>
      <c r="Q69" s="374"/>
      <c r="R69" s="374"/>
    </row>
    <row r="70" spans="1:19" s="205" customFormat="1" x14ac:dyDescent="0.3">
      <c r="A70" s="283"/>
      <c r="B70" s="218"/>
      <c r="C70" s="218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198"/>
      <c r="Q70" s="198"/>
      <c r="R70" s="198"/>
      <c r="S70" s="203"/>
    </row>
    <row r="71" spans="1:19" s="205" customFormat="1" x14ac:dyDescent="0.3">
      <c r="A71" s="283"/>
      <c r="B71" s="218"/>
      <c r="C71" s="218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198"/>
      <c r="Q71" s="198"/>
      <c r="R71" s="198"/>
      <c r="S71" s="203"/>
    </row>
    <row r="72" spans="1:19" s="205" customFormat="1" x14ac:dyDescent="0.3">
      <c r="A72" s="283"/>
      <c r="B72" s="218"/>
      <c r="C72" s="218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198"/>
      <c r="Q72" s="198"/>
      <c r="R72" s="198"/>
      <c r="S72" s="203"/>
    </row>
    <row r="73" spans="1:19" x14ac:dyDescent="0.3"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198"/>
      <c r="Q73" s="198"/>
      <c r="R73" s="198"/>
      <c r="S73" s="203"/>
    </row>
    <row r="75" spans="1:19" ht="15.75" customHeight="1" x14ac:dyDescent="0.3"/>
    <row r="76" spans="1:19" ht="15.75" customHeight="1" x14ac:dyDescent="0.3"/>
    <row r="77" spans="1:19" ht="15.75" customHeight="1" x14ac:dyDescent="0.3"/>
  </sheetData>
  <mergeCells count="6">
    <mergeCell ref="B62:B63"/>
    <mergeCell ref="B53:B54"/>
    <mergeCell ref="B59:B60"/>
    <mergeCell ref="B66:B68"/>
    <mergeCell ref="B65:C65"/>
    <mergeCell ref="B56:B57"/>
  </mergeCells>
  <phoneticPr fontId="25" type="noConversion"/>
  <pageMargins left="0.25" right="0.25" top="0.75" bottom="0.75" header="0.3" footer="0.3"/>
  <pageSetup paperSize="9" scale="45" firstPageNumber="429496729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0"/>
  <sheetViews>
    <sheetView workbookViewId="0">
      <selection activeCell="H22" sqref="H22"/>
    </sheetView>
  </sheetViews>
  <sheetFormatPr defaultRowHeight="14.4" x14ac:dyDescent="0.3"/>
  <cols>
    <col min="4" max="4" width="9.88671875" bestFit="1" customWidth="1"/>
    <col min="6" max="6" width="13.5546875" customWidth="1"/>
    <col min="7" max="7" width="11.5546875" customWidth="1"/>
    <col min="8" max="8" width="11.44140625" customWidth="1"/>
    <col min="10" max="10" width="8.88671875" customWidth="1"/>
    <col min="11" max="19" width="10.88671875" customWidth="1"/>
    <col min="20" max="20" width="12.5546875" customWidth="1"/>
    <col min="21" max="21" width="9.88671875" customWidth="1"/>
  </cols>
  <sheetData>
    <row r="1" spans="1:21" ht="15.6" x14ac:dyDescent="0.3">
      <c r="A1" s="97" t="s">
        <v>67</v>
      </c>
      <c r="B1" s="98"/>
      <c r="C1" s="98"/>
      <c r="D1" s="98"/>
      <c r="E1" s="98"/>
      <c r="F1" s="97"/>
      <c r="G1" s="99"/>
      <c r="H1" s="100" t="s">
        <v>68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3">
      <c r="A2" s="101" t="s">
        <v>69</v>
      </c>
      <c r="B2" s="85"/>
      <c r="C2" s="85"/>
      <c r="D2" s="85"/>
      <c r="E2" s="85"/>
      <c r="F2" s="447" t="s">
        <v>70</v>
      </c>
      <c r="G2" s="102" t="s">
        <v>71</v>
      </c>
      <c r="H2" s="9" t="s">
        <v>72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73</v>
      </c>
    </row>
    <row r="3" spans="1:21" x14ac:dyDescent="0.3">
      <c r="A3" s="12"/>
      <c r="B3" s="13"/>
      <c r="C3" s="13"/>
      <c r="D3" s="13"/>
      <c r="E3" s="13"/>
      <c r="F3" s="448"/>
      <c r="G3" s="103" t="s">
        <v>74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3">
      <c r="A4" s="70" t="s">
        <v>75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3">
      <c r="A5" s="70" t="s">
        <v>76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3">
      <c r="A6" s="70" t="s">
        <v>77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3">
      <c r="A7" s="70" t="s">
        <v>78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3">
      <c r="A8" s="70" t="s">
        <v>79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3">
      <c r="A9" s="112" t="s">
        <v>80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6" x14ac:dyDescent="0.3">
      <c r="A10" s="115"/>
      <c r="B10" s="64" t="s">
        <v>81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3">
      <c r="A11" s="71"/>
      <c r="B11" s="71"/>
      <c r="C11" s="71"/>
      <c r="D11" s="71"/>
      <c r="E11" s="71"/>
      <c r="F11" s="98" t="s">
        <v>82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83</v>
      </c>
    </row>
    <row r="12" spans="1:21" x14ac:dyDescent="0.3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3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3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3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3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3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3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3">
      <c r="A19" s="12" t="s">
        <v>84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3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3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3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3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3">
      <c r="A24" s="70" t="s">
        <v>85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3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3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3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3">
      <c r="A28" s="70" t="s">
        <v>86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3">
      <c r="A29" s="70" t="s">
        <v>87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3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3">
      <c r="A31" s="70" t="s">
        <v>88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3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6" x14ac:dyDescent="0.3">
      <c r="A33" s="130" t="s">
        <v>89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3">
      <c r="Q35" s="132"/>
    </row>
    <row r="37" spans="1:21" x14ac:dyDescent="0.3">
      <c r="T37" s="111"/>
    </row>
    <row r="40" spans="1:21" x14ac:dyDescent="0.3">
      <c r="O40" s="85"/>
    </row>
  </sheetData>
  <mergeCells count="1">
    <mergeCell ref="F2:F3"/>
  </mergeCells>
  <phoneticPr fontId="25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N104"/>
  <sheetViews>
    <sheetView topLeftCell="A7" zoomScale="115" workbookViewId="0">
      <selection activeCell="G14" sqref="G14"/>
    </sheetView>
  </sheetViews>
  <sheetFormatPr defaultRowHeight="14.4" x14ac:dyDescent="0.3"/>
  <cols>
    <col min="1" max="1" width="36" style="94" customWidth="1"/>
    <col min="2" max="2" width="12.6640625" style="96" bestFit="1" customWidth="1"/>
    <col min="3" max="3" width="13.6640625" style="96" customWidth="1"/>
    <col min="4" max="4" width="9.33203125" style="96" bestFit="1" customWidth="1"/>
    <col min="5" max="5" width="10.88671875" style="96" customWidth="1"/>
    <col min="6" max="6" width="10.33203125" style="96" bestFit="1" customWidth="1"/>
    <col min="7" max="7" width="9.33203125" style="96" bestFit="1" customWidth="1"/>
    <col min="8" max="8" width="10.33203125" style="96" bestFit="1" customWidth="1"/>
    <col min="9" max="9" width="9.33203125" style="96" bestFit="1" customWidth="1"/>
    <col min="10" max="11" width="10.33203125" style="96" bestFit="1" customWidth="1"/>
    <col min="12" max="12" width="9.33203125" style="96" bestFit="1" customWidth="1"/>
    <col min="13" max="13" width="11.88671875" style="96" bestFit="1" customWidth="1"/>
    <col min="14" max="14" width="10.33203125" style="95" bestFit="1" customWidth="1"/>
  </cols>
  <sheetData>
    <row r="1" spans="1:14" x14ac:dyDescent="0.3">
      <c r="A1" s="133" t="s">
        <v>28</v>
      </c>
      <c r="B1" s="188" t="str">
        <f>'ВСЕ затраты'!B1</f>
        <v>2024-2025гг.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36"/>
    </row>
    <row r="2" spans="1:14" x14ac:dyDescent="0.3">
      <c r="A2" s="137"/>
      <c r="B2" s="178" t="s">
        <v>9</v>
      </c>
      <c r="C2" s="184" t="s">
        <v>14</v>
      </c>
      <c r="D2" s="189" t="s">
        <v>15</v>
      </c>
      <c r="E2" s="184" t="s">
        <v>16</v>
      </c>
      <c r="F2" s="184" t="s">
        <v>17</v>
      </c>
      <c r="G2" s="184" t="s">
        <v>18</v>
      </c>
      <c r="H2" s="184" t="s">
        <v>19</v>
      </c>
      <c r="I2" s="184" t="s">
        <v>4</v>
      </c>
      <c r="J2" s="184" t="s">
        <v>5</v>
      </c>
      <c r="K2" s="184" t="s">
        <v>6</v>
      </c>
      <c r="L2" s="184" t="s">
        <v>7</v>
      </c>
      <c r="M2" s="184" t="s">
        <v>8</v>
      </c>
      <c r="N2" s="141" t="s">
        <v>90</v>
      </c>
    </row>
    <row r="3" spans="1:14" x14ac:dyDescent="0.3">
      <c r="A3" s="146" t="s">
        <v>91</v>
      </c>
      <c r="B3" s="324">
        <v>11000</v>
      </c>
      <c r="C3" s="324">
        <v>11000</v>
      </c>
      <c r="D3" s="325"/>
      <c r="E3" s="324"/>
      <c r="F3" s="324"/>
      <c r="G3" s="324"/>
      <c r="H3" s="324"/>
      <c r="I3" s="324"/>
      <c r="J3" s="324"/>
      <c r="K3" s="324"/>
      <c r="L3" s="324"/>
      <c r="M3" s="324"/>
      <c r="N3" s="145">
        <f t="shared" ref="N3:N18" si="0">SUM(B3:M3)</f>
        <v>22000</v>
      </c>
    </row>
    <row r="4" spans="1:14" x14ac:dyDescent="0.3">
      <c r="A4" s="146" t="s">
        <v>92</v>
      </c>
      <c r="B4" s="324">
        <v>9000</v>
      </c>
      <c r="C4" s="326">
        <v>9000</v>
      </c>
      <c r="D4" s="327">
        <v>9000</v>
      </c>
      <c r="E4" s="326"/>
      <c r="F4" s="326"/>
      <c r="G4" s="326"/>
      <c r="H4" s="326"/>
      <c r="I4" s="326"/>
      <c r="J4" s="326"/>
      <c r="K4" s="326"/>
      <c r="L4" s="326"/>
      <c r="M4" s="326"/>
      <c r="N4" s="145">
        <f t="shared" si="0"/>
        <v>27000</v>
      </c>
    </row>
    <row r="5" spans="1:14" x14ac:dyDescent="0.3">
      <c r="A5" s="146" t="s">
        <v>93</v>
      </c>
      <c r="B5" s="324">
        <v>8502.85</v>
      </c>
      <c r="C5" s="324">
        <v>12309.94</v>
      </c>
      <c r="D5" s="324">
        <v>5704.3</v>
      </c>
      <c r="E5" s="324">
        <v>11323</v>
      </c>
      <c r="F5" s="324">
        <v>7762</v>
      </c>
      <c r="G5" s="324">
        <v>7519</v>
      </c>
      <c r="H5" s="324"/>
      <c r="I5" s="324"/>
      <c r="J5" s="324"/>
      <c r="K5" s="324"/>
      <c r="L5" s="324"/>
      <c r="M5" s="324"/>
      <c r="N5" s="145">
        <f t="shared" si="0"/>
        <v>53121.09</v>
      </c>
    </row>
    <row r="6" spans="1:14" x14ac:dyDescent="0.3">
      <c r="A6" s="146" t="s">
        <v>109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45">
        <f t="shared" si="0"/>
        <v>0</v>
      </c>
    </row>
    <row r="7" spans="1:14" x14ac:dyDescent="0.3">
      <c r="A7" s="149" t="s">
        <v>150</v>
      </c>
      <c r="B7" s="178">
        <f>1050+1200</f>
        <v>2250</v>
      </c>
      <c r="C7" s="180"/>
      <c r="D7" s="182">
        <v>1200</v>
      </c>
      <c r="E7" s="180"/>
      <c r="F7" s="180">
        <v>1200</v>
      </c>
      <c r="G7" s="180"/>
      <c r="H7" s="180"/>
      <c r="I7" s="180"/>
      <c r="J7" s="180"/>
      <c r="K7" s="180"/>
      <c r="L7" s="180"/>
      <c r="M7" s="180"/>
      <c r="N7" s="145">
        <f t="shared" si="0"/>
        <v>4650</v>
      </c>
    </row>
    <row r="8" spans="1:14" x14ac:dyDescent="0.3">
      <c r="A8" s="148" t="s">
        <v>151</v>
      </c>
      <c r="B8" s="178">
        <v>6727</v>
      </c>
      <c r="C8" s="178"/>
      <c r="D8" s="179"/>
      <c r="E8" s="178">
        <v>6400</v>
      </c>
      <c r="F8" s="178"/>
      <c r="G8" s="178"/>
      <c r="H8" s="178"/>
      <c r="I8" s="178"/>
      <c r="J8" s="178"/>
      <c r="K8" s="178"/>
      <c r="L8" s="178"/>
      <c r="M8" s="178"/>
      <c r="N8" s="145">
        <f t="shared" si="0"/>
        <v>13127</v>
      </c>
    </row>
    <row r="9" spans="1:14" x14ac:dyDescent="0.3">
      <c r="A9" s="370" t="s">
        <v>152</v>
      </c>
      <c r="B9" s="178">
        <f>338+3160.7</f>
        <v>3498.7</v>
      </c>
      <c r="C9" s="180"/>
      <c r="D9" s="182"/>
      <c r="E9" s="180">
        <v>5613</v>
      </c>
      <c r="F9" s="180">
        <v>1090</v>
      </c>
      <c r="G9" s="180"/>
      <c r="H9" s="180"/>
      <c r="I9" s="180"/>
      <c r="J9" s="180"/>
      <c r="K9" s="180"/>
      <c r="L9" s="180"/>
      <c r="M9" s="180"/>
      <c r="N9" s="145">
        <f t="shared" si="0"/>
        <v>10201.700000000001</v>
      </c>
    </row>
    <row r="10" spans="1:14" x14ac:dyDescent="0.3">
      <c r="A10" s="148" t="s">
        <v>154</v>
      </c>
      <c r="B10" s="178">
        <f>598+2118</f>
        <v>2716</v>
      </c>
      <c r="C10" s="180"/>
      <c r="D10" s="182"/>
      <c r="E10" s="180"/>
      <c r="F10" s="180"/>
      <c r="G10" s="180"/>
      <c r="H10" s="180"/>
      <c r="I10" s="180"/>
      <c r="J10" s="180"/>
      <c r="K10" s="180"/>
      <c r="L10" s="180"/>
      <c r="M10" s="180"/>
      <c r="N10" s="145">
        <f t="shared" si="0"/>
        <v>2716</v>
      </c>
    </row>
    <row r="11" spans="1:14" x14ac:dyDescent="0.3">
      <c r="A11" s="148" t="s">
        <v>159</v>
      </c>
      <c r="B11" s="178">
        <v>5500</v>
      </c>
      <c r="C11" s="180"/>
      <c r="D11" s="182"/>
      <c r="E11" s="180"/>
      <c r="F11" s="180"/>
      <c r="G11" s="180"/>
      <c r="H11" s="180"/>
      <c r="I11" s="180"/>
      <c r="J11" s="180"/>
      <c r="K11" s="180"/>
      <c r="L11" s="180"/>
      <c r="M11" s="180"/>
      <c r="N11" s="145">
        <f>SUM(B11:M11)</f>
        <v>5500</v>
      </c>
    </row>
    <row r="12" spans="1:14" x14ac:dyDescent="0.3">
      <c r="A12" s="150" t="s">
        <v>163</v>
      </c>
      <c r="B12" s="178">
        <v>1800</v>
      </c>
      <c r="C12" s="180"/>
      <c r="D12" s="182"/>
      <c r="E12" s="180">
        <v>3400</v>
      </c>
      <c r="F12" s="180">
        <v>12900</v>
      </c>
      <c r="G12" s="180"/>
      <c r="H12" s="180"/>
      <c r="I12" s="180"/>
      <c r="J12" s="180"/>
      <c r="K12" s="180"/>
      <c r="L12" s="180"/>
      <c r="M12" s="180"/>
      <c r="N12" s="145">
        <f t="shared" si="0"/>
        <v>18100</v>
      </c>
    </row>
    <row r="13" spans="1:14" x14ac:dyDescent="0.3">
      <c r="A13" s="369" t="s">
        <v>115</v>
      </c>
      <c r="B13" s="178">
        <f>349+174.5+79+99+69</f>
        <v>770.5</v>
      </c>
      <c r="C13" s="180">
        <f>199.99</f>
        <v>199.99</v>
      </c>
      <c r="D13" s="182">
        <v>278</v>
      </c>
      <c r="E13" s="180"/>
      <c r="F13" s="180"/>
      <c r="G13" s="180">
        <v>4892</v>
      </c>
      <c r="H13" s="180"/>
      <c r="I13" s="180"/>
      <c r="J13" s="180"/>
      <c r="K13" s="180"/>
      <c r="L13" s="180"/>
      <c r="M13" s="180"/>
      <c r="N13" s="145">
        <f t="shared" si="0"/>
        <v>6140.49</v>
      </c>
    </row>
    <row r="14" spans="1:14" x14ac:dyDescent="0.3">
      <c r="A14" s="150" t="s">
        <v>164</v>
      </c>
      <c r="B14" s="178">
        <v>268</v>
      </c>
      <c r="C14" s="180"/>
      <c r="D14" s="182"/>
      <c r="E14" s="180"/>
      <c r="F14" s="180"/>
      <c r="G14" s="180"/>
      <c r="H14" s="180"/>
      <c r="I14" s="180"/>
      <c r="J14" s="180"/>
      <c r="K14" s="180"/>
      <c r="L14" s="180"/>
      <c r="M14" s="180"/>
      <c r="N14" s="145">
        <f t="shared" si="0"/>
        <v>268</v>
      </c>
    </row>
    <row r="15" spans="1:14" x14ac:dyDescent="0.3">
      <c r="A15" s="368" t="s">
        <v>165</v>
      </c>
      <c r="B15" s="178">
        <f>31+455.01</f>
        <v>486.01</v>
      </c>
      <c r="C15" s="180">
        <f>432.04+60+31</f>
        <v>523.04</v>
      </c>
      <c r="D15" s="182">
        <f>62+450.07</f>
        <v>512.06999999999994</v>
      </c>
      <c r="E15" s="180"/>
      <c r="F15" s="180"/>
      <c r="G15" s="180">
        <v>40</v>
      </c>
      <c r="H15" s="180"/>
      <c r="I15" s="180"/>
      <c r="J15" s="180"/>
      <c r="K15" s="180"/>
      <c r="L15" s="180"/>
      <c r="M15" s="180"/>
      <c r="N15" s="145">
        <f t="shared" si="0"/>
        <v>1561.12</v>
      </c>
    </row>
    <row r="16" spans="1:14" x14ac:dyDescent="0.3">
      <c r="A16" s="150" t="s">
        <v>166</v>
      </c>
      <c r="B16" s="178">
        <f>1904+1035</f>
        <v>2939</v>
      </c>
      <c r="C16" s="180"/>
      <c r="D16" s="182"/>
      <c r="E16" s="180"/>
      <c r="F16" s="180"/>
      <c r="G16" s="180"/>
      <c r="H16" s="180"/>
      <c r="I16" s="180"/>
      <c r="J16" s="180"/>
      <c r="K16" s="180"/>
      <c r="L16" s="180"/>
      <c r="M16" s="180"/>
      <c r="N16" s="145">
        <f t="shared" si="0"/>
        <v>2939</v>
      </c>
    </row>
    <row r="17" spans="1:14" x14ac:dyDescent="0.3">
      <c r="A17" s="150" t="s">
        <v>174</v>
      </c>
      <c r="B17" s="178">
        <f>750+1400</f>
        <v>2150</v>
      </c>
      <c r="C17" s="180"/>
      <c r="D17" s="182"/>
      <c r="E17" s="180"/>
      <c r="F17" s="180"/>
      <c r="G17" s="180"/>
      <c r="H17" s="180"/>
      <c r="I17" s="180"/>
      <c r="J17" s="180"/>
      <c r="K17" s="180"/>
      <c r="L17" s="180"/>
      <c r="M17" s="180"/>
      <c r="N17" s="145">
        <f t="shared" si="0"/>
        <v>2150</v>
      </c>
    </row>
    <row r="18" spans="1:14" x14ac:dyDescent="0.3">
      <c r="A18" s="150" t="s">
        <v>175</v>
      </c>
      <c r="B18" s="178">
        <v>6380</v>
      </c>
      <c r="C18" s="180"/>
      <c r="D18" s="182"/>
      <c r="E18" s="180"/>
      <c r="F18" s="180"/>
      <c r="G18" s="180"/>
      <c r="H18" s="180"/>
      <c r="I18" s="180"/>
      <c r="J18" s="180"/>
      <c r="K18" s="180"/>
      <c r="L18" s="180"/>
      <c r="M18" s="180"/>
      <c r="N18" s="145">
        <f t="shared" si="0"/>
        <v>6380</v>
      </c>
    </row>
    <row r="19" spans="1:14" x14ac:dyDescent="0.3">
      <c r="A19" s="150" t="s">
        <v>176</v>
      </c>
      <c r="B19" s="178">
        <v>15545</v>
      </c>
      <c r="C19" s="180"/>
      <c r="D19" s="182"/>
      <c r="E19" s="180"/>
      <c r="F19" s="180"/>
      <c r="G19" s="180"/>
      <c r="H19" s="180"/>
      <c r="I19" s="180"/>
      <c r="J19" s="180"/>
      <c r="K19" s="180"/>
      <c r="L19" s="180"/>
      <c r="M19" s="180"/>
      <c r="N19" s="145">
        <f t="shared" ref="N19:N39" si="1">SUM(B19:M19)</f>
        <v>15545</v>
      </c>
    </row>
    <row r="20" spans="1:14" x14ac:dyDescent="0.3">
      <c r="A20" s="371" t="s">
        <v>113</v>
      </c>
      <c r="B20" s="178">
        <f>800+360+600+200</f>
        <v>1960</v>
      </c>
      <c r="C20" s="180"/>
      <c r="D20" s="182"/>
      <c r="E20" s="180"/>
      <c r="F20" s="180">
        <v>1080</v>
      </c>
      <c r="G20" s="180"/>
      <c r="H20" s="180"/>
      <c r="I20" s="180"/>
      <c r="J20" s="180"/>
      <c r="K20" s="180"/>
      <c r="L20" s="180"/>
      <c r="M20" s="180"/>
      <c r="N20" s="145">
        <f t="shared" si="1"/>
        <v>3040</v>
      </c>
    </row>
    <row r="21" spans="1:14" x14ac:dyDescent="0.3">
      <c r="A21" s="150" t="s">
        <v>181</v>
      </c>
      <c r="B21" s="178">
        <f>1330+1040+820</f>
        <v>3190</v>
      </c>
      <c r="C21" s="180"/>
      <c r="D21" s="182"/>
      <c r="E21" s="180"/>
      <c r="F21" s="180"/>
      <c r="G21" s="180"/>
      <c r="H21" s="180"/>
      <c r="I21" s="180"/>
      <c r="J21" s="180"/>
      <c r="K21" s="180"/>
      <c r="L21" s="180"/>
      <c r="M21" s="180"/>
      <c r="N21" s="145">
        <f t="shared" si="1"/>
        <v>3190</v>
      </c>
    </row>
    <row r="22" spans="1:14" x14ac:dyDescent="0.3">
      <c r="A22" s="150" t="s">
        <v>182</v>
      </c>
      <c r="B22" s="178">
        <v>520</v>
      </c>
      <c r="C22" s="180"/>
      <c r="D22" s="182"/>
      <c r="E22" s="180"/>
      <c r="F22" s="180"/>
      <c r="G22" s="180"/>
      <c r="H22" s="180"/>
      <c r="I22" s="180"/>
      <c r="J22" s="180"/>
      <c r="K22" s="180"/>
      <c r="L22" s="180"/>
      <c r="M22" s="180"/>
      <c r="N22" s="145">
        <f t="shared" si="1"/>
        <v>520</v>
      </c>
    </row>
    <row r="23" spans="1:14" x14ac:dyDescent="0.3">
      <c r="A23" s="150" t="s">
        <v>183</v>
      </c>
      <c r="B23" s="178">
        <v>1040</v>
      </c>
      <c r="C23" s="180"/>
      <c r="D23" s="182"/>
      <c r="E23" s="180"/>
      <c r="F23" s="180"/>
      <c r="G23" s="180"/>
      <c r="H23" s="180"/>
      <c r="I23" s="180"/>
      <c r="J23" s="180"/>
      <c r="K23" s="180"/>
      <c r="L23" s="180"/>
      <c r="M23" s="180"/>
      <c r="N23" s="145">
        <f t="shared" si="1"/>
        <v>1040</v>
      </c>
    </row>
    <row r="24" spans="1:14" x14ac:dyDescent="0.3">
      <c r="A24" s="150" t="s">
        <v>193</v>
      </c>
      <c r="B24" s="178"/>
      <c r="C24" s="180">
        <v>6727</v>
      </c>
      <c r="D24" s="182"/>
      <c r="E24" s="180"/>
      <c r="F24" s="180"/>
      <c r="G24" s="180"/>
      <c r="H24" s="180"/>
      <c r="I24" s="180"/>
      <c r="J24" s="180"/>
      <c r="K24" s="180"/>
      <c r="L24" s="180"/>
      <c r="M24" s="180"/>
      <c r="N24" s="145">
        <f t="shared" si="1"/>
        <v>6727</v>
      </c>
    </row>
    <row r="25" spans="1:14" x14ac:dyDescent="0.3">
      <c r="A25" s="370" t="s">
        <v>194</v>
      </c>
      <c r="B25" s="178"/>
      <c r="C25" s="180">
        <v>1500</v>
      </c>
      <c r="D25" s="182"/>
      <c r="E25" s="180">
        <v>6000</v>
      </c>
      <c r="F25" s="180"/>
      <c r="G25" s="180">
        <v>6000</v>
      </c>
      <c r="H25" s="180"/>
      <c r="I25" s="180"/>
      <c r="J25" s="180"/>
      <c r="K25" s="180"/>
      <c r="L25" s="180"/>
      <c r="M25" s="180"/>
      <c r="N25" s="145">
        <f t="shared" si="1"/>
        <v>13500</v>
      </c>
    </row>
    <row r="26" spans="1:14" x14ac:dyDescent="0.3">
      <c r="A26" s="150" t="s">
        <v>195</v>
      </c>
      <c r="B26" s="178"/>
      <c r="C26" s="180">
        <f>1400+904+973</f>
        <v>3277</v>
      </c>
      <c r="D26" s="182">
        <v>1358</v>
      </c>
      <c r="E26" s="180"/>
      <c r="F26" s="180">
        <v>1358</v>
      </c>
      <c r="G26" s="180">
        <v>6762</v>
      </c>
      <c r="H26" s="180"/>
      <c r="I26" s="180"/>
      <c r="J26" s="180"/>
      <c r="K26" s="180"/>
      <c r="L26" s="180"/>
      <c r="M26" s="180"/>
      <c r="N26" s="145">
        <f t="shared" si="1"/>
        <v>12755</v>
      </c>
    </row>
    <row r="27" spans="1:14" x14ac:dyDescent="0.3">
      <c r="A27" s="150" t="s">
        <v>196</v>
      </c>
      <c r="B27" s="178"/>
      <c r="C27" s="180">
        <v>1570</v>
      </c>
      <c r="D27" s="182"/>
      <c r="E27" s="180"/>
      <c r="F27" s="180"/>
      <c r="G27" s="180"/>
      <c r="H27" s="180"/>
      <c r="I27" s="180"/>
      <c r="J27" s="180"/>
      <c r="K27" s="180"/>
      <c r="L27" s="180"/>
      <c r="M27" s="180"/>
      <c r="N27" s="145">
        <f t="shared" si="1"/>
        <v>1570</v>
      </c>
    </row>
    <row r="28" spans="1:14" x14ac:dyDescent="0.3">
      <c r="A28" s="150" t="s">
        <v>197</v>
      </c>
      <c r="B28" s="178"/>
      <c r="C28" s="180">
        <v>616</v>
      </c>
      <c r="D28" s="182"/>
      <c r="E28" s="180"/>
      <c r="F28" s="180"/>
      <c r="G28" s="180"/>
      <c r="H28" s="180"/>
      <c r="I28" s="180"/>
      <c r="J28" s="180"/>
      <c r="K28" s="180"/>
      <c r="L28" s="180"/>
      <c r="M28" s="180"/>
      <c r="N28" s="145">
        <f t="shared" si="1"/>
        <v>616</v>
      </c>
    </row>
    <row r="29" spans="1:14" x14ac:dyDescent="0.3">
      <c r="A29" s="150" t="s">
        <v>198</v>
      </c>
      <c r="B29" s="178"/>
      <c r="C29" s="180">
        <v>1980</v>
      </c>
      <c r="D29" s="182"/>
      <c r="E29" s="180"/>
      <c r="F29" s="180"/>
      <c r="G29" s="180"/>
      <c r="H29" s="180"/>
      <c r="I29" s="180"/>
      <c r="J29" s="180"/>
      <c r="K29" s="180"/>
      <c r="L29" s="180"/>
      <c r="M29" s="180"/>
      <c r="N29" s="145">
        <f t="shared" si="1"/>
        <v>1980</v>
      </c>
    </row>
    <row r="30" spans="1:14" x14ac:dyDescent="0.3">
      <c r="A30" s="150" t="s">
        <v>199</v>
      </c>
      <c r="B30" s="178"/>
      <c r="C30" s="180">
        <v>680</v>
      </c>
      <c r="D30" s="182"/>
      <c r="E30" s="180"/>
      <c r="F30" s="180"/>
      <c r="G30" s="180"/>
      <c r="H30" s="180"/>
      <c r="I30" s="180"/>
      <c r="J30" s="180"/>
      <c r="K30" s="180"/>
      <c r="L30" s="180"/>
      <c r="M30" s="180"/>
      <c r="N30" s="145">
        <f t="shared" si="1"/>
        <v>680</v>
      </c>
    </row>
    <row r="31" spans="1:14" x14ac:dyDescent="0.3">
      <c r="A31" s="150" t="s">
        <v>200</v>
      </c>
      <c r="B31" s="178"/>
      <c r="C31" s="180">
        <v>1600</v>
      </c>
      <c r="D31" s="182"/>
      <c r="E31" s="180"/>
      <c r="F31" s="180"/>
      <c r="G31" s="180"/>
      <c r="H31" s="180"/>
      <c r="I31" s="180"/>
      <c r="J31" s="180"/>
      <c r="K31" s="180"/>
      <c r="L31" s="180"/>
      <c r="M31" s="180"/>
      <c r="N31" s="145">
        <f t="shared" si="1"/>
        <v>1600</v>
      </c>
    </row>
    <row r="32" spans="1:14" x14ac:dyDescent="0.3">
      <c r="A32" s="150" t="s">
        <v>205</v>
      </c>
      <c r="B32" s="178"/>
      <c r="C32" s="180">
        <v>120</v>
      </c>
      <c r="D32" s="182"/>
      <c r="E32" s="180"/>
      <c r="F32" s="180"/>
      <c r="G32" s="180"/>
      <c r="H32" s="180"/>
      <c r="I32" s="180"/>
      <c r="J32" s="180"/>
      <c r="K32" s="180"/>
      <c r="L32" s="180"/>
      <c r="M32" s="180"/>
      <c r="N32" s="145">
        <f t="shared" si="1"/>
        <v>120</v>
      </c>
    </row>
    <row r="33" spans="1:14" x14ac:dyDescent="0.3">
      <c r="A33" s="150" t="s">
        <v>209</v>
      </c>
      <c r="B33" s="178"/>
      <c r="C33" s="180">
        <v>1504</v>
      </c>
      <c r="D33" s="182">
        <v>759</v>
      </c>
      <c r="E33" s="180"/>
      <c r="F33" s="180"/>
      <c r="G33" s="180">
        <v>2028</v>
      </c>
      <c r="H33" s="180"/>
      <c r="I33" s="180"/>
      <c r="J33" s="180"/>
      <c r="K33" s="180"/>
      <c r="L33" s="180"/>
      <c r="M33" s="180"/>
      <c r="N33" s="145">
        <f t="shared" si="1"/>
        <v>4291</v>
      </c>
    </row>
    <row r="34" spans="1:14" x14ac:dyDescent="0.3">
      <c r="A34" s="150" t="s">
        <v>211</v>
      </c>
      <c r="B34" s="178"/>
      <c r="C34" s="180">
        <v>153</v>
      </c>
      <c r="D34" s="182"/>
      <c r="E34" s="180"/>
      <c r="F34" s="180"/>
      <c r="G34" s="180"/>
      <c r="H34" s="180"/>
      <c r="I34" s="180"/>
      <c r="J34" s="180"/>
      <c r="K34" s="180"/>
      <c r="L34" s="180"/>
      <c r="M34" s="180"/>
      <c r="N34" s="145">
        <f t="shared" si="1"/>
        <v>153</v>
      </c>
    </row>
    <row r="35" spans="1:14" x14ac:dyDescent="0.3">
      <c r="A35" s="150" t="s">
        <v>212</v>
      </c>
      <c r="B35" s="178"/>
      <c r="C35" s="180">
        <v>5750</v>
      </c>
      <c r="D35" s="182"/>
      <c r="E35" s="180"/>
      <c r="F35" s="180"/>
      <c r="G35" s="180"/>
      <c r="H35" s="180"/>
      <c r="I35" s="180"/>
      <c r="J35" s="180"/>
      <c r="K35" s="180"/>
      <c r="L35" s="180"/>
      <c r="M35" s="180"/>
      <c r="N35" s="145">
        <f t="shared" si="1"/>
        <v>5750</v>
      </c>
    </row>
    <row r="36" spans="1:14" x14ac:dyDescent="0.3">
      <c r="A36" s="384" t="s">
        <v>213</v>
      </c>
      <c r="B36" s="181"/>
      <c r="C36" s="181">
        <v>403.5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45">
        <f t="shared" si="1"/>
        <v>403.5</v>
      </c>
    </row>
    <row r="37" spans="1:14" x14ac:dyDescent="0.3">
      <c r="A37" s="403" t="s">
        <v>226</v>
      </c>
      <c r="B37" s="181"/>
      <c r="C37" s="181"/>
      <c r="D37" s="181">
        <v>2240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45">
        <f t="shared" si="1"/>
        <v>2240</v>
      </c>
    </row>
    <row r="38" spans="1:14" x14ac:dyDescent="0.3">
      <c r="A38" s="405" t="s">
        <v>234</v>
      </c>
      <c r="B38" s="181"/>
      <c r="C38" s="181"/>
      <c r="D38" s="181"/>
      <c r="E38" s="181"/>
      <c r="F38" s="181"/>
      <c r="G38" s="181">
        <v>278</v>
      </c>
      <c r="H38" s="181"/>
      <c r="I38" s="181"/>
      <c r="J38" s="181"/>
      <c r="K38" s="181"/>
      <c r="L38" s="181"/>
      <c r="M38" s="181"/>
      <c r="N38" s="145">
        <f t="shared" si="1"/>
        <v>278</v>
      </c>
    </row>
    <row r="39" spans="1:14" x14ac:dyDescent="0.3">
      <c r="A39" s="405" t="s">
        <v>235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45">
        <f t="shared" si="1"/>
        <v>0</v>
      </c>
    </row>
    <row r="40" spans="1:14" x14ac:dyDescent="0.3">
      <c r="A40" s="351" t="s">
        <v>239</v>
      </c>
      <c r="B40" s="178"/>
      <c r="C40" s="178"/>
      <c r="D40" s="178"/>
      <c r="E40" s="178">
        <v>3150</v>
      </c>
      <c r="F40" s="178"/>
      <c r="G40" s="178"/>
      <c r="H40" s="178"/>
      <c r="I40" s="178"/>
      <c r="J40" s="178"/>
      <c r="K40" s="178"/>
      <c r="L40" s="178"/>
      <c r="M40" s="178"/>
      <c r="N40" s="145">
        <f t="shared" ref="N40:N58" si="2">SUM(B40:M40)</f>
        <v>3150</v>
      </c>
    </row>
    <row r="41" spans="1:14" x14ac:dyDescent="0.3">
      <c r="A41" s="351" t="s">
        <v>240</v>
      </c>
      <c r="B41" s="178"/>
      <c r="C41" s="178"/>
      <c r="D41" s="178"/>
      <c r="E41" s="178">
        <v>750</v>
      </c>
      <c r="F41" s="178"/>
      <c r="G41" s="178">
        <v>750</v>
      </c>
      <c r="H41" s="178"/>
      <c r="I41" s="178"/>
      <c r="J41" s="178"/>
      <c r="K41" s="178"/>
      <c r="L41" s="178"/>
      <c r="M41" s="178"/>
      <c r="N41" s="145">
        <f t="shared" si="2"/>
        <v>1500</v>
      </c>
    </row>
    <row r="42" spans="1:14" x14ac:dyDescent="0.3">
      <c r="A42" s="351" t="s">
        <v>210</v>
      </c>
      <c r="B42" s="178"/>
      <c r="C42" s="178"/>
      <c r="D42" s="178"/>
      <c r="E42" s="178">
        <v>960</v>
      </c>
      <c r="F42" s="178"/>
      <c r="G42" s="178"/>
      <c r="H42" s="178"/>
      <c r="I42" s="178"/>
      <c r="J42" s="178"/>
      <c r="K42" s="178"/>
      <c r="L42" s="178"/>
      <c r="M42" s="178"/>
      <c r="N42" s="145">
        <f t="shared" si="2"/>
        <v>960</v>
      </c>
    </row>
    <row r="43" spans="1:14" x14ac:dyDescent="0.3">
      <c r="A43" s="351" t="s">
        <v>242</v>
      </c>
      <c r="B43" s="178"/>
      <c r="C43" s="178"/>
      <c r="D43" s="178"/>
      <c r="E43" s="178">
        <v>5327</v>
      </c>
      <c r="F43" s="178"/>
      <c r="G43" s="178"/>
      <c r="H43" s="178"/>
      <c r="I43" s="178"/>
      <c r="J43" s="178"/>
      <c r="K43" s="178"/>
      <c r="L43" s="178"/>
      <c r="M43" s="178"/>
      <c r="N43" s="145">
        <f t="shared" si="2"/>
        <v>5327</v>
      </c>
    </row>
    <row r="44" spans="1:14" x14ac:dyDescent="0.3">
      <c r="A44" s="351" t="s">
        <v>227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45">
        <f t="shared" si="2"/>
        <v>0</v>
      </c>
    </row>
    <row r="45" spans="1:14" x14ac:dyDescent="0.3">
      <c r="A45" s="351" t="s">
        <v>243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45">
        <f t="shared" si="2"/>
        <v>0</v>
      </c>
    </row>
    <row r="46" spans="1:14" x14ac:dyDescent="0.3">
      <c r="A46" s="351" t="s">
        <v>244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45">
        <f t="shared" si="2"/>
        <v>0</v>
      </c>
    </row>
    <row r="47" spans="1:14" x14ac:dyDescent="0.3">
      <c r="A47" s="351" t="s">
        <v>245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45">
        <f t="shared" si="2"/>
        <v>0</v>
      </c>
    </row>
    <row r="48" spans="1:14" x14ac:dyDescent="0.3">
      <c r="A48" s="351" t="s">
        <v>246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45">
        <f t="shared" si="2"/>
        <v>0</v>
      </c>
    </row>
    <row r="49" spans="1:14" x14ac:dyDescent="0.3">
      <c r="A49" s="351" t="s">
        <v>247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45">
        <f t="shared" si="2"/>
        <v>0</v>
      </c>
    </row>
    <row r="50" spans="1:14" x14ac:dyDescent="0.3">
      <c r="A50" s="351" t="s">
        <v>248</v>
      </c>
      <c r="B50" s="178"/>
      <c r="C50" s="178"/>
      <c r="D50" s="178"/>
      <c r="E50" s="178">
        <v>3170</v>
      </c>
      <c r="F50" s="178"/>
      <c r="G50" s="178"/>
      <c r="H50" s="178"/>
      <c r="I50" s="178"/>
      <c r="J50" s="178"/>
      <c r="K50" s="178"/>
      <c r="L50" s="178"/>
      <c r="M50" s="178"/>
      <c r="N50" s="145">
        <f t="shared" si="2"/>
        <v>3170</v>
      </c>
    </row>
    <row r="51" spans="1:14" x14ac:dyDescent="0.3">
      <c r="A51" s="351" t="s">
        <v>249</v>
      </c>
      <c r="B51" s="178"/>
      <c r="C51" s="178"/>
      <c r="D51" s="178"/>
      <c r="E51" s="178">
        <v>22000</v>
      </c>
      <c r="F51" s="178">
        <v>11000</v>
      </c>
      <c r="G51" s="178">
        <v>11000</v>
      </c>
      <c r="H51" s="178"/>
      <c r="I51" s="178"/>
      <c r="J51" s="178"/>
      <c r="K51" s="178"/>
      <c r="L51" s="178"/>
      <c r="M51" s="178"/>
      <c r="N51" s="145">
        <f t="shared" si="2"/>
        <v>44000</v>
      </c>
    </row>
    <row r="52" spans="1:14" x14ac:dyDescent="0.3">
      <c r="A52" s="351" t="s">
        <v>253</v>
      </c>
      <c r="B52" s="178"/>
      <c r="C52" s="178"/>
      <c r="D52" s="178"/>
      <c r="E52" s="178"/>
      <c r="F52" s="178">
        <v>0</v>
      </c>
      <c r="G52" s="178"/>
      <c r="H52" s="178"/>
      <c r="I52" s="178"/>
      <c r="J52" s="178"/>
      <c r="K52" s="178"/>
      <c r="L52" s="178"/>
      <c r="M52" s="178"/>
      <c r="N52" s="145"/>
    </row>
    <row r="53" spans="1:14" x14ac:dyDescent="0.3">
      <c r="A53" s="351" t="s">
        <v>255</v>
      </c>
      <c r="B53" s="178"/>
      <c r="C53" s="178"/>
      <c r="D53" s="178"/>
      <c r="E53" s="178"/>
      <c r="F53" s="178">
        <v>1200</v>
      </c>
      <c r="G53" s="178"/>
      <c r="H53" s="178"/>
      <c r="I53" s="178"/>
      <c r="J53" s="178"/>
      <c r="K53" s="178"/>
      <c r="L53" s="178"/>
      <c r="M53" s="178"/>
      <c r="N53" s="145">
        <f t="shared" si="2"/>
        <v>1200</v>
      </c>
    </row>
    <row r="54" spans="1:14" x14ac:dyDescent="0.3">
      <c r="A54" s="351" t="s">
        <v>260</v>
      </c>
      <c r="B54" s="178"/>
      <c r="C54" s="178"/>
      <c r="D54" s="178"/>
      <c r="E54" s="178"/>
      <c r="F54" s="178">
        <v>10737</v>
      </c>
      <c r="G54" s="178"/>
      <c r="H54" s="178"/>
      <c r="I54" s="178"/>
      <c r="J54" s="178"/>
      <c r="K54" s="178"/>
      <c r="L54" s="178"/>
      <c r="M54" s="178"/>
      <c r="N54" s="145">
        <f t="shared" si="2"/>
        <v>10737</v>
      </c>
    </row>
    <row r="55" spans="1:14" x14ac:dyDescent="0.3">
      <c r="A55" s="406" t="s">
        <v>261</v>
      </c>
      <c r="B55" s="181"/>
      <c r="C55" s="181"/>
      <c r="D55" s="181"/>
      <c r="E55" s="181"/>
      <c r="F55" s="181">
        <v>15885</v>
      </c>
      <c r="G55" s="181"/>
      <c r="H55" s="181"/>
      <c r="I55" s="181"/>
      <c r="J55" s="181"/>
      <c r="K55" s="181"/>
      <c r="L55" s="181"/>
      <c r="M55" s="181"/>
      <c r="N55" s="145">
        <f t="shared" si="2"/>
        <v>15885</v>
      </c>
    </row>
    <row r="56" spans="1:14" ht="27" x14ac:dyDescent="0.3">
      <c r="A56" s="351" t="s">
        <v>262</v>
      </c>
      <c r="B56" s="178"/>
      <c r="C56" s="178"/>
      <c r="D56" s="178"/>
      <c r="E56" s="178"/>
      <c r="F56" s="178">
        <v>9074</v>
      </c>
      <c r="G56" s="178"/>
      <c r="H56" s="178"/>
      <c r="I56" s="178"/>
      <c r="J56" s="178"/>
      <c r="K56" s="178"/>
      <c r="L56" s="178"/>
      <c r="M56" s="178"/>
      <c r="N56" s="145">
        <f t="shared" si="2"/>
        <v>9074</v>
      </c>
    </row>
    <row r="57" spans="1:14" x14ac:dyDescent="0.3">
      <c r="A57" s="351" t="s">
        <v>263</v>
      </c>
      <c r="B57" s="178"/>
      <c r="C57" s="178"/>
      <c r="D57" s="178"/>
      <c r="E57" s="178"/>
      <c r="F57" s="178">
        <v>3885</v>
      </c>
      <c r="G57" s="178"/>
      <c r="H57" s="178"/>
      <c r="I57" s="178"/>
      <c r="J57" s="178"/>
      <c r="K57" s="178"/>
      <c r="L57" s="178"/>
      <c r="M57" s="178"/>
      <c r="N57" s="145">
        <f t="shared" si="2"/>
        <v>3885</v>
      </c>
    </row>
    <row r="58" spans="1:14" x14ac:dyDescent="0.3">
      <c r="A58" s="351" t="s">
        <v>269</v>
      </c>
      <c r="B58" s="178"/>
      <c r="C58" s="178"/>
      <c r="D58" s="178"/>
      <c r="E58" s="178"/>
      <c r="F58" s="178">
        <v>125</v>
      </c>
      <c r="G58" s="178"/>
      <c r="H58" s="178"/>
      <c r="I58" s="178"/>
      <c r="J58" s="178"/>
      <c r="K58" s="178"/>
      <c r="L58" s="178"/>
      <c r="M58" s="178"/>
      <c r="N58" s="145">
        <f t="shared" si="2"/>
        <v>125</v>
      </c>
    </row>
    <row r="59" spans="1:14" x14ac:dyDescent="0.3">
      <c r="A59" s="351" t="s">
        <v>270</v>
      </c>
      <c r="B59" s="178"/>
      <c r="C59" s="178"/>
      <c r="D59" s="178"/>
      <c r="E59" s="178"/>
      <c r="F59" s="178">
        <v>2540</v>
      </c>
      <c r="G59" s="178"/>
      <c r="H59" s="178"/>
      <c r="I59" s="178"/>
      <c r="J59" s="178"/>
      <c r="K59" s="178"/>
      <c r="L59" s="178"/>
      <c r="M59" s="178"/>
      <c r="N59" s="180">
        <f t="shared" ref="N59:N102" si="3">SUM(B59:M59)</f>
        <v>2540</v>
      </c>
    </row>
    <row r="60" spans="1:14" x14ac:dyDescent="0.3">
      <c r="A60" s="351" t="s">
        <v>286</v>
      </c>
      <c r="B60" s="178"/>
      <c r="C60" s="178"/>
      <c r="D60" s="178"/>
      <c r="E60" s="178">
        <v>1450</v>
      </c>
      <c r="F60" s="178"/>
      <c r="G60" s="178"/>
      <c r="H60" s="178"/>
      <c r="I60" s="178"/>
      <c r="J60" s="178"/>
      <c r="K60" s="178"/>
      <c r="L60" s="178"/>
      <c r="M60" s="178"/>
      <c r="N60" s="180">
        <f t="shared" si="3"/>
        <v>1450</v>
      </c>
    </row>
    <row r="61" spans="1:14" x14ac:dyDescent="0.3">
      <c r="A61" s="305" t="s">
        <v>287</v>
      </c>
      <c r="B61" s="178"/>
      <c r="C61" s="181"/>
      <c r="D61" s="181"/>
      <c r="E61" s="181">
        <v>100</v>
      </c>
      <c r="F61" s="181"/>
      <c r="G61" s="181"/>
      <c r="H61" s="181"/>
      <c r="I61" s="181"/>
      <c r="J61" s="181"/>
      <c r="K61" s="181"/>
      <c r="L61" s="181"/>
      <c r="M61" s="181"/>
      <c r="N61" s="180">
        <f t="shared" si="3"/>
        <v>100</v>
      </c>
    </row>
    <row r="62" spans="1:14" x14ac:dyDescent="0.3">
      <c r="A62" s="351" t="s">
        <v>288</v>
      </c>
      <c r="B62" s="178"/>
      <c r="C62" s="181"/>
      <c r="D62" s="181"/>
      <c r="E62" s="181">
        <v>90</v>
      </c>
      <c r="F62" s="181"/>
      <c r="G62" s="181"/>
      <c r="H62" s="181"/>
      <c r="I62" s="181"/>
      <c r="J62" s="181"/>
      <c r="K62" s="181"/>
      <c r="L62" s="181"/>
      <c r="M62" s="181"/>
      <c r="N62" s="180">
        <f t="shared" si="3"/>
        <v>90</v>
      </c>
    </row>
    <row r="63" spans="1:14" x14ac:dyDescent="0.3">
      <c r="A63" s="305" t="s">
        <v>289</v>
      </c>
      <c r="B63" s="178"/>
      <c r="C63" s="180"/>
      <c r="D63" s="180"/>
      <c r="E63" s="180">
        <v>400</v>
      </c>
      <c r="F63" s="180"/>
      <c r="G63" s="180"/>
      <c r="H63" s="180"/>
      <c r="I63" s="180"/>
      <c r="J63" s="180"/>
      <c r="K63" s="180"/>
      <c r="L63" s="180"/>
      <c r="M63" s="180"/>
      <c r="N63" s="180">
        <f t="shared" si="3"/>
        <v>400</v>
      </c>
    </row>
    <row r="64" spans="1:14" x14ac:dyDescent="0.3">
      <c r="A64" s="351" t="s">
        <v>113</v>
      </c>
      <c r="B64" s="178"/>
      <c r="C64" s="178"/>
      <c r="D64" s="190"/>
      <c r="E64" s="178">
        <v>840</v>
      </c>
      <c r="F64" s="178"/>
      <c r="G64" s="178">
        <v>2750</v>
      </c>
      <c r="H64" s="178"/>
      <c r="I64" s="178"/>
      <c r="J64" s="178"/>
      <c r="K64" s="178"/>
      <c r="L64" s="178"/>
      <c r="M64" s="178"/>
      <c r="N64" s="180">
        <f t="shared" si="3"/>
        <v>3590</v>
      </c>
    </row>
    <row r="65" spans="1:14" x14ac:dyDescent="0.3">
      <c r="A65" s="305" t="s">
        <v>290</v>
      </c>
      <c r="B65" s="178"/>
      <c r="C65" s="178"/>
      <c r="D65" s="178"/>
      <c r="E65" s="178">
        <v>370</v>
      </c>
      <c r="F65" s="178"/>
      <c r="G65" s="178"/>
      <c r="H65" s="178"/>
      <c r="I65" s="178"/>
      <c r="J65" s="178"/>
      <c r="K65" s="178"/>
      <c r="L65" s="178"/>
      <c r="M65" s="178"/>
      <c r="N65" s="180">
        <f t="shared" si="3"/>
        <v>370</v>
      </c>
    </row>
    <row r="66" spans="1:14" x14ac:dyDescent="0.3">
      <c r="A66" s="351" t="s">
        <v>297</v>
      </c>
      <c r="B66" s="178"/>
      <c r="C66" s="178"/>
      <c r="D66" s="178"/>
      <c r="E66" s="178">
        <v>2760</v>
      </c>
      <c r="F66" s="178"/>
      <c r="G66" s="178"/>
      <c r="H66" s="178"/>
      <c r="I66" s="178"/>
      <c r="J66" s="178"/>
      <c r="K66" s="178"/>
      <c r="L66" s="178"/>
      <c r="M66" s="178"/>
      <c r="N66" s="180">
        <f t="shared" si="3"/>
        <v>2760</v>
      </c>
    </row>
    <row r="67" spans="1:14" x14ac:dyDescent="0.3">
      <c r="A67" s="408" t="s">
        <v>298</v>
      </c>
      <c r="B67" s="178"/>
      <c r="C67" s="178"/>
      <c r="D67" s="178"/>
      <c r="E67" s="178">
        <v>16104</v>
      </c>
      <c r="F67" s="178"/>
      <c r="G67" s="178"/>
      <c r="H67" s="178"/>
      <c r="I67" s="178"/>
      <c r="J67" s="178"/>
      <c r="K67" s="178"/>
      <c r="L67" s="178"/>
      <c r="M67" s="178"/>
      <c r="N67" s="180">
        <f t="shared" si="3"/>
        <v>16104</v>
      </c>
    </row>
    <row r="68" spans="1:14" x14ac:dyDescent="0.3">
      <c r="A68" s="351" t="s">
        <v>299</v>
      </c>
      <c r="B68" s="178"/>
      <c r="C68" s="178"/>
      <c r="D68" s="178"/>
      <c r="E68" s="178">
        <v>359</v>
      </c>
      <c r="F68" s="178"/>
      <c r="G68" s="178"/>
      <c r="H68" s="178"/>
      <c r="I68" s="178"/>
      <c r="J68" s="178"/>
      <c r="K68" s="178"/>
      <c r="L68" s="178"/>
      <c r="M68" s="178"/>
      <c r="N68" s="180">
        <f t="shared" si="3"/>
        <v>359</v>
      </c>
    </row>
    <row r="69" spans="1:14" x14ac:dyDescent="0.3">
      <c r="A69" s="408" t="s">
        <v>300</v>
      </c>
      <c r="B69" s="178"/>
      <c r="C69" s="178"/>
      <c r="D69" s="178"/>
      <c r="E69" s="178">
        <v>150</v>
      </c>
      <c r="F69" s="178"/>
      <c r="G69" s="178"/>
      <c r="H69" s="178"/>
      <c r="I69" s="178"/>
      <c r="J69" s="178"/>
      <c r="K69" s="178"/>
      <c r="L69" s="178"/>
      <c r="M69" s="178"/>
      <c r="N69" s="180">
        <f t="shared" si="3"/>
        <v>150</v>
      </c>
    </row>
    <row r="70" spans="1:14" x14ac:dyDescent="0.3">
      <c r="A70" s="351" t="s">
        <v>301</v>
      </c>
      <c r="B70" s="178"/>
      <c r="C70" s="178"/>
      <c r="D70" s="178"/>
      <c r="E70" s="178">
        <v>1110</v>
      </c>
      <c r="F70" s="178"/>
      <c r="G70" s="178"/>
      <c r="H70" s="178"/>
      <c r="I70" s="178"/>
      <c r="J70" s="178"/>
      <c r="K70" s="178"/>
      <c r="L70" s="178"/>
      <c r="M70" s="178"/>
      <c r="N70" s="180">
        <f t="shared" si="3"/>
        <v>1110</v>
      </c>
    </row>
    <row r="71" spans="1:14" x14ac:dyDescent="0.3">
      <c r="A71" s="408" t="s">
        <v>255</v>
      </c>
      <c r="B71" s="178"/>
      <c r="C71" s="178"/>
      <c r="D71" s="178"/>
      <c r="E71" s="178">
        <v>40000</v>
      </c>
      <c r="F71" s="178"/>
      <c r="G71" s="178"/>
      <c r="H71" s="178"/>
      <c r="I71" s="178"/>
      <c r="J71" s="178"/>
      <c r="K71" s="178"/>
      <c r="L71" s="178"/>
      <c r="M71" s="178"/>
      <c r="N71" s="180">
        <f t="shared" si="3"/>
        <v>40000</v>
      </c>
    </row>
    <row r="72" spans="1:14" x14ac:dyDescent="0.3">
      <c r="A72" s="351" t="s">
        <v>235</v>
      </c>
      <c r="B72" s="178"/>
      <c r="C72" s="178"/>
      <c r="D72" s="178"/>
      <c r="E72" s="178">
        <v>369</v>
      </c>
      <c r="F72" s="178"/>
      <c r="G72" s="178"/>
      <c r="H72" s="178"/>
      <c r="I72" s="178"/>
      <c r="J72" s="178"/>
      <c r="K72" s="178"/>
      <c r="L72" s="178"/>
      <c r="M72" s="178"/>
      <c r="N72" s="180">
        <f t="shared" si="3"/>
        <v>369</v>
      </c>
    </row>
    <row r="73" spans="1:14" x14ac:dyDescent="0.3">
      <c r="A73" s="305" t="s">
        <v>306</v>
      </c>
      <c r="B73" s="178"/>
      <c r="C73" s="178"/>
      <c r="D73" s="178"/>
      <c r="E73" s="178"/>
      <c r="F73" s="178"/>
      <c r="G73" s="178">
        <v>7390</v>
      </c>
      <c r="H73" s="178"/>
      <c r="I73" s="178"/>
      <c r="J73" s="178"/>
      <c r="K73" s="178"/>
      <c r="L73" s="178"/>
      <c r="M73" s="178"/>
      <c r="N73" s="180">
        <f t="shared" si="3"/>
        <v>7390</v>
      </c>
    </row>
    <row r="74" spans="1:14" x14ac:dyDescent="0.3">
      <c r="A74" s="351" t="s">
        <v>307</v>
      </c>
      <c r="B74" s="178"/>
      <c r="C74" s="178"/>
      <c r="D74" s="178"/>
      <c r="E74" s="178"/>
      <c r="F74" s="178"/>
      <c r="G74" s="178">
        <v>15000</v>
      </c>
      <c r="H74" s="178"/>
      <c r="I74" s="178"/>
      <c r="J74" s="178"/>
      <c r="K74" s="178"/>
      <c r="L74" s="178"/>
      <c r="M74" s="178"/>
      <c r="N74" s="180">
        <f t="shared" si="3"/>
        <v>15000</v>
      </c>
    </row>
    <row r="75" spans="1:14" x14ac:dyDescent="0.3">
      <c r="A75" s="305" t="s">
        <v>308</v>
      </c>
      <c r="B75" s="178"/>
      <c r="C75" s="178"/>
      <c r="D75" s="178"/>
      <c r="E75" s="178"/>
      <c r="F75" s="178"/>
      <c r="G75" s="178">
        <v>42264</v>
      </c>
      <c r="H75" s="178"/>
      <c r="I75" s="178"/>
      <c r="J75" s="178"/>
      <c r="K75" s="178"/>
      <c r="L75" s="178"/>
      <c r="M75" s="178"/>
      <c r="N75" s="180">
        <f t="shared" si="3"/>
        <v>42264</v>
      </c>
    </row>
    <row r="76" spans="1:14" x14ac:dyDescent="0.3">
      <c r="A76" s="351" t="s">
        <v>312</v>
      </c>
      <c r="B76" s="178"/>
      <c r="C76" s="178"/>
      <c r="D76" s="178"/>
      <c r="E76" s="178"/>
      <c r="F76" s="178"/>
      <c r="G76" s="178">
        <v>556</v>
      </c>
      <c r="H76" s="178"/>
      <c r="I76" s="178"/>
      <c r="J76" s="178"/>
      <c r="K76" s="178"/>
      <c r="L76" s="178"/>
      <c r="M76" s="178"/>
      <c r="N76" s="180">
        <f t="shared" si="3"/>
        <v>556</v>
      </c>
    </row>
    <row r="77" spans="1:14" x14ac:dyDescent="0.3">
      <c r="A77" s="409" t="s">
        <v>313</v>
      </c>
      <c r="B77" s="178"/>
      <c r="C77" s="178"/>
      <c r="D77" s="178"/>
      <c r="E77" s="178"/>
      <c r="F77" s="178"/>
      <c r="G77" s="178">
        <v>1900</v>
      </c>
      <c r="H77" s="178"/>
      <c r="I77" s="178"/>
      <c r="J77" s="178"/>
      <c r="K77" s="178"/>
      <c r="L77" s="178"/>
      <c r="M77" s="178"/>
      <c r="N77" s="180">
        <f t="shared" si="3"/>
        <v>1900</v>
      </c>
    </row>
    <row r="78" spans="1:14" x14ac:dyDescent="0.3">
      <c r="A78" s="351" t="s">
        <v>319</v>
      </c>
      <c r="B78" s="178"/>
      <c r="C78" s="178"/>
      <c r="D78" s="178"/>
      <c r="E78" s="178"/>
      <c r="F78" s="178"/>
      <c r="G78" s="178">
        <v>756</v>
      </c>
      <c r="H78" s="178"/>
      <c r="I78" s="178"/>
      <c r="J78" s="178"/>
      <c r="K78" s="178"/>
      <c r="L78" s="178"/>
      <c r="M78" s="178"/>
      <c r="N78" s="180">
        <f t="shared" si="3"/>
        <v>756</v>
      </c>
    </row>
    <row r="79" spans="1:14" x14ac:dyDescent="0.3">
      <c r="A79" s="351" t="s">
        <v>320</v>
      </c>
      <c r="B79" s="178"/>
      <c r="C79" s="178"/>
      <c r="D79" s="178"/>
      <c r="E79" s="178"/>
      <c r="F79" s="178"/>
      <c r="G79" s="178">
        <v>3928</v>
      </c>
      <c r="H79" s="178"/>
      <c r="I79" s="178"/>
      <c r="J79" s="178"/>
      <c r="K79" s="178"/>
      <c r="L79" s="178"/>
      <c r="M79" s="178"/>
      <c r="N79" s="180">
        <f t="shared" si="3"/>
        <v>3928</v>
      </c>
    </row>
    <row r="80" spans="1:14" x14ac:dyDescent="0.3">
      <c r="A80" s="305" t="s">
        <v>321</v>
      </c>
      <c r="B80" s="178"/>
      <c r="C80" s="180"/>
      <c r="D80" s="180"/>
      <c r="E80" s="180"/>
      <c r="F80" s="180"/>
      <c r="G80" s="180">
        <v>3100</v>
      </c>
      <c r="H80" s="180"/>
      <c r="I80" s="180"/>
      <c r="J80" s="180"/>
      <c r="K80" s="180"/>
      <c r="L80" s="180"/>
      <c r="M80" s="180"/>
      <c r="N80" s="180">
        <f t="shared" si="3"/>
        <v>3100</v>
      </c>
    </row>
    <row r="81" spans="1:14" x14ac:dyDescent="0.3">
      <c r="A81" s="351" t="s">
        <v>322</v>
      </c>
      <c r="B81" s="180"/>
      <c r="C81" s="180"/>
      <c r="D81" s="180"/>
      <c r="E81" s="180"/>
      <c r="F81" s="180"/>
      <c r="G81" s="180">
        <v>334</v>
      </c>
      <c r="H81" s="180"/>
      <c r="I81" s="180"/>
      <c r="J81" s="180"/>
      <c r="K81" s="180"/>
      <c r="L81" s="180"/>
      <c r="M81" s="180"/>
      <c r="N81" s="180">
        <f t="shared" si="3"/>
        <v>334</v>
      </c>
    </row>
    <row r="82" spans="1:14" x14ac:dyDescent="0.3">
      <c r="A82" s="305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>
        <f t="shared" si="3"/>
        <v>0</v>
      </c>
    </row>
    <row r="83" spans="1:14" x14ac:dyDescent="0.3">
      <c r="A83" s="351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>
        <f t="shared" si="3"/>
        <v>0</v>
      </c>
    </row>
    <row r="84" spans="1:14" x14ac:dyDescent="0.3">
      <c r="A84" s="305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>
        <f t="shared" si="3"/>
        <v>0</v>
      </c>
    </row>
    <row r="85" spans="1:14" x14ac:dyDescent="0.3">
      <c r="A85" s="148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>
        <f t="shared" si="3"/>
        <v>0</v>
      </c>
    </row>
    <row r="86" spans="1:14" x14ac:dyDescent="0.3">
      <c r="A86" s="148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>
        <f t="shared" si="3"/>
        <v>0</v>
      </c>
    </row>
    <row r="87" spans="1:14" x14ac:dyDescent="0.3">
      <c r="A87" s="148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>
        <f t="shared" si="3"/>
        <v>0</v>
      </c>
    </row>
    <row r="88" spans="1:14" x14ac:dyDescent="0.3">
      <c r="A88" s="148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>
        <f t="shared" si="3"/>
        <v>0</v>
      </c>
    </row>
    <row r="89" spans="1:14" x14ac:dyDescent="0.3">
      <c r="A89" s="148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>
        <f t="shared" si="3"/>
        <v>0</v>
      </c>
    </row>
    <row r="90" spans="1:14" x14ac:dyDescent="0.3">
      <c r="A90" s="148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>
        <f t="shared" si="3"/>
        <v>0</v>
      </c>
    </row>
    <row r="91" spans="1:14" x14ac:dyDescent="0.3">
      <c r="A91" s="148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>
        <f t="shared" si="3"/>
        <v>0</v>
      </c>
    </row>
    <row r="92" spans="1:14" x14ac:dyDescent="0.3">
      <c r="A92" s="148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>
        <f t="shared" si="3"/>
        <v>0</v>
      </c>
    </row>
    <row r="93" spans="1:14" x14ac:dyDescent="0.3">
      <c r="A93" s="148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>
        <f t="shared" si="3"/>
        <v>0</v>
      </c>
    </row>
    <row r="94" spans="1:14" x14ac:dyDescent="0.3">
      <c r="A94" s="148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>
        <f t="shared" si="3"/>
        <v>0</v>
      </c>
    </row>
    <row r="95" spans="1:14" x14ac:dyDescent="0.3">
      <c r="A95" s="148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>
        <f t="shared" si="3"/>
        <v>0</v>
      </c>
    </row>
    <row r="96" spans="1:14" x14ac:dyDescent="0.3">
      <c r="A96" s="148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>
        <f t="shared" si="3"/>
        <v>0</v>
      </c>
    </row>
    <row r="97" spans="1:14" x14ac:dyDescent="0.3">
      <c r="A97" s="148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>
        <f t="shared" si="3"/>
        <v>0</v>
      </c>
    </row>
    <row r="98" spans="1:14" x14ac:dyDescent="0.3">
      <c r="A98" s="148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>
        <f t="shared" si="3"/>
        <v>0</v>
      </c>
    </row>
    <row r="99" spans="1:14" x14ac:dyDescent="0.3">
      <c r="A99" s="148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>
        <f t="shared" si="3"/>
        <v>0</v>
      </c>
    </row>
    <row r="100" spans="1:14" x14ac:dyDescent="0.3">
      <c r="A100" s="148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>
        <f t="shared" si="3"/>
        <v>0</v>
      </c>
    </row>
    <row r="101" spans="1:14" x14ac:dyDescent="0.3">
      <c r="A101" s="148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>
        <f t="shared" si="3"/>
        <v>0</v>
      </c>
    </row>
    <row r="102" spans="1:14" x14ac:dyDescent="0.3">
      <c r="A102" s="151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0">
        <f t="shared" si="3"/>
        <v>0</v>
      </c>
    </row>
    <row r="103" spans="1:14" x14ac:dyDescent="0.3">
      <c r="A103" s="133" t="s">
        <v>90</v>
      </c>
      <c r="B103" s="185">
        <f t="shared" ref="B103:M103" si="4">SUM(B1:B102)</f>
        <v>86243.06</v>
      </c>
      <c r="C103" s="185">
        <f t="shared" si="4"/>
        <v>58913.47</v>
      </c>
      <c r="D103" s="185">
        <f t="shared" si="4"/>
        <v>21051.37</v>
      </c>
      <c r="E103" s="185">
        <f t="shared" si="4"/>
        <v>132195</v>
      </c>
      <c r="F103" s="185">
        <f t="shared" si="4"/>
        <v>79836</v>
      </c>
      <c r="G103" s="185">
        <f t="shared" si="4"/>
        <v>117247</v>
      </c>
      <c r="H103" s="185">
        <f t="shared" si="4"/>
        <v>0</v>
      </c>
      <c r="I103" s="185">
        <f t="shared" si="4"/>
        <v>0</v>
      </c>
      <c r="J103" s="185">
        <f t="shared" si="4"/>
        <v>0</v>
      </c>
      <c r="K103" s="185">
        <f t="shared" si="4"/>
        <v>0</v>
      </c>
      <c r="L103" s="185">
        <f>SUM(L1:L102)</f>
        <v>0</v>
      </c>
      <c r="M103" s="185">
        <f t="shared" si="4"/>
        <v>0</v>
      </c>
      <c r="N103" s="154">
        <f>SUM(N1:N102)</f>
        <v>495485.89999999997</v>
      </c>
    </row>
    <row r="104" spans="1:14" x14ac:dyDescent="0.3">
      <c r="N104" s="95">
        <f>SUM(B103:M103)-N103</f>
        <v>0</v>
      </c>
    </row>
  </sheetData>
  <autoFilter ref="A1:A104" xr:uid="{00000000-0009-0000-0000-000003000000}"/>
  <phoneticPr fontId="25" type="noConversion"/>
  <pageMargins left="0.7" right="0.7" top="0.75" bottom="0.75" header="0.3" footer="0.3"/>
  <pageSetup paperSize="9" scale="46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A1:N12"/>
  <sheetViews>
    <sheetView workbookViewId="0">
      <selection activeCell="C4" sqref="C4"/>
    </sheetView>
  </sheetViews>
  <sheetFormatPr defaultRowHeight="14.4" x14ac:dyDescent="0.3"/>
  <cols>
    <col min="1" max="1" width="29.88671875" bestFit="1" customWidth="1"/>
    <col min="2" max="2" width="11.5546875" style="1" customWidth="1"/>
    <col min="3" max="3" width="10.109375" style="1" customWidth="1"/>
    <col min="4" max="4" width="8.109375" style="1" customWidth="1"/>
    <col min="5" max="5" width="8.33203125" style="1" customWidth="1"/>
    <col min="6" max="6" width="8.44140625" style="1" customWidth="1"/>
    <col min="7" max="8" width="9.109375" style="1"/>
    <col min="9" max="9" width="8.109375" style="1" customWidth="1"/>
    <col min="10" max="10" width="8.33203125" style="1" customWidth="1"/>
    <col min="11" max="11" width="9.33203125" style="1" bestFit="1" customWidth="1"/>
    <col min="12" max="13" width="9.109375" style="1"/>
    <col min="14" max="14" width="11.88671875" style="1" bestFit="1" customWidth="1"/>
  </cols>
  <sheetData>
    <row r="1" spans="1:14" x14ac:dyDescent="0.3">
      <c r="A1" s="155" t="s">
        <v>29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3">
      <c r="A2" s="156"/>
      <c r="B2" s="147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3">
      <c r="A3" s="152" t="s">
        <v>153</v>
      </c>
      <c r="B3" s="178">
        <v>17000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0">
        <f>SUM(B3:M3)</f>
        <v>17000</v>
      </c>
    </row>
    <row r="4" spans="1:14" x14ac:dyDescent="0.3">
      <c r="A4" s="152" t="s">
        <v>94</v>
      </c>
      <c r="B4" s="178"/>
      <c r="C4" s="178">
        <f>10000+2399</f>
        <v>12399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ref="N4:N6" si="0">SUM(B4:M4)</f>
        <v>12399</v>
      </c>
    </row>
    <row r="5" spans="1:14" x14ac:dyDescent="0.3">
      <c r="A5" s="157" t="s">
        <v>95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0</v>
      </c>
    </row>
    <row r="6" spans="1:14" x14ac:dyDescent="0.3">
      <c r="A6" s="152" t="s">
        <v>111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0</v>
      </c>
    </row>
    <row r="7" spans="1:14" x14ac:dyDescent="0.3">
      <c r="A7" s="152" t="s">
        <v>129</v>
      </c>
      <c r="B7" s="178"/>
      <c r="C7" s="178"/>
      <c r="D7" s="178"/>
      <c r="E7" s="178"/>
      <c r="F7" s="178"/>
      <c r="G7" s="178"/>
      <c r="H7" s="178"/>
      <c r="I7" s="178"/>
      <c r="J7" s="178"/>
      <c r="K7" s="197"/>
      <c r="L7" s="178"/>
      <c r="M7" s="178"/>
      <c r="N7" s="180">
        <f>SUM(B7:M7)</f>
        <v>0</v>
      </c>
    </row>
    <row r="8" spans="1:14" x14ac:dyDescent="0.3">
      <c r="A8" s="202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0"/>
    </row>
    <row r="10" spans="1:14" x14ac:dyDescent="0.3">
      <c r="A10" s="158" t="s">
        <v>90</v>
      </c>
      <c r="B10" s="159">
        <f t="shared" ref="B10:H10" si="1">SUM(B3:B8)</f>
        <v>17000</v>
      </c>
      <c r="C10" s="159">
        <f t="shared" si="1"/>
        <v>12399</v>
      </c>
      <c r="D10" s="159">
        <f t="shared" si="1"/>
        <v>0</v>
      </c>
      <c r="E10" s="159">
        <f t="shared" si="1"/>
        <v>0</v>
      </c>
      <c r="F10" s="159">
        <f t="shared" si="1"/>
        <v>0</v>
      </c>
      <c r="G10" s="159">
        <f t="shared" si="1"/>
        <v>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>SUM(L3:L8)</f>
        <v>0</v>
      </c>
      <c r="M10" s="159">
        <f t="shared" si="2"/>
        <v>0</v>
      </c>
      <c r="N10" s="159">
        <f>SUM(N3:N8)</f>
        <v>29399</v>
      </c>
    </row>
    <row r="12" spans="1:14" x14ac:dyDescent="0.3">
      <c r="N12" s="160">
        <f>SUM(B10:M10)-N10</f>
        <v>0</v>
      </c>
    </row>
  </sheetData>
  <phoneticPr fontId="25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11"/>
  <sheetViews>
    <sheetView workbookViewId="0">
      <selection activeCell="G6" sqref="G6"/>
    </sheetView>
  </sheetViews>
  <sheetFormatPr defaultRowHeight="14.4" x14ac:dyDescent="0.3"/>
  <cols>
    <col min="1" max="1" width="19.5546875" bestFit="1" customWidth="1"/>
    <col min="2" max="2" width="11.5546875" style="1" bestFit="1" customWidth="1"/>
    <col min="3" max="3" width="9.33203125" style="1" bestFit="1" customWidth="1"/>
    <col min="4" max="5" width="8.33203125" style="1" bestFit="1" customWidth="1"/>
    <col min="6" max="6" width="9.33203125" style="1" customWidth="1"/>
    <col min="7" max="7" width="9.33203125" style="1" bestFit="1" customWidth="1"/>
    <col min="8" max="13" width="8.33203125" style="1" bestFit="1" customWidth="1"/>
    <col min="14" max="14" width="12.88671875" style="1" bestFit="1" customWidth="1"/>
  </cols>
  <sheetData>
    <row r="1" spans="1:14" x14ac:dyDescent="0.3">
      <c r="A1" s="155" t="s">
        <v>30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3">
      <c r="A2" s="156"/>
      <c r="B2" s="138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3">
      <c r="A3" s="161"/>
      <c r="B3" s="143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7" si="0">SUM(B3:M3)</f>
        <v>0</v>
      </c>
    </row>
    <row r="4" spans="1:14" x14ac:dyDescent="0.3">
      <c r="A4" s="152" t="s">
        <v>96</v>
      </c>
      <c r="B4" s="178">
        <v>1200</v>
      </c>
      <c r="C4" s="178">
        <v>1200</v>
      </c>
      <c r="D4" s="178"/>
      <c r="E4" s="178">
        <v>2400</v>
      </c>
      <c r="F4" s="178">
        <v>1200</v>
      </c>
      <c r="G4" s="178">
        <v>1200</v>
      </c>
      <c r="H4" s="178"/>
      <c r="I4" s="178"/>
      <c r="J4" s="178"/>
      <c r="K4" s="178"/>
      <c r="L4" s="178"/>
      <c r="M4" s="178"/>
      <c r="N4" s="178">
        <f t="shared" si="0"/>
        <v>7200</v>
      </c>
    </row>
    <row r="5" spans="1:14" x14ac:dyDescent="0.3">
      <c r="A5" s="152" t="s">
        <v>97</v>
      </c>
      <c r="B5" s="178">
        <v>4000</v>
      </c>
      <c r="C5" s="178">
        <v>4000</v>
      </c>
      <c r="D5" s="178"/>
      <c r="E5" s="178">
        <v>8000</v>
      </c>
      <c r="F5" s="178">
        <v>4000</v>
      </c>
      <c r="G5" s="178">
        <v>4000</v>
      </c>
      <c r="H5" s="178"/>
      <c r="I5" s="178"/>
      <c r="J5" s="178"/>
      <c r="K5" s="178"/>
      <c r="L5" s="178"/>
      <c r="M5" s="178"/>
      <c r="N5" s="178">
        <f t="shared" si="0"/>
        <v>24000</v>
      </c>
    </row>
    <row r="6" spans="1:14" x14ac:dyDescent="0.3">
      <c r="A6" s="152" t="s">
        <v>98</v>
      </c>
      <c r="B6" s="178">
        <v>1000</v>
      </c>
      <c r="C6" s="178">
        <v>1000</v>
      </c>
      <c r="D6" s="178"/>
      <c r="E6" s="178">
        <v>2000</v>
      </c>
      <c r="F6" s="178">
        <v>1000</v>
      </c>
      <c r="G6" s="178">
        <v>1000</v>
      </c>
      <c r="H6" s="178"/>
      <c r="I6" s="178"/>
      <c r="J6" s="178"/>
      <c r="K6" s="178"/>
      <c r="L6" s="178"/>
      <c r="M6" s="178"/>
      <c r="N6" s="178">
        <f t="shared" si="0"/>
        <v>6000</v>
      </c>
    </row>
    <row r="7" spans="1:14" x14ac:dyDescent="0.3">
      <c r="A7" s="152" t="s">
        <v>128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3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</row>
    <row r="9" spans="1:14" x14ac:dyDescent="0.3">
      <c r="A9" s="162" t="s">
        <v>90</v>
      </c>
      <c r="B9" s="159">
        <f t="shared" ref="B9:M9" si="1">SUM(B3:B8)</f>
        <v>6200</v>
      </c>
      <c r="C9" s="159">
        <f t="shared" si="1"/>
        <v>6200</v>
      </c>
      <c r="D9" s="159">
        <f t="shared" si="1"/>
        <v>0</v>
      </c>
      <c r="E9" s="159">
        <f t="shared" si="1"/>
        <v>12400</v>
      </c>
      <c r="F9" s="159">
        <f t="shared" si="1"/>
        <v>6200</v>
      </c>
      <c r="G9" s="159">
        <f t="shared" si="1"/>
        <v>6200</v>
      </c>
      <c r="H9" s="159">
        <f t="shared" si="1"/>
        <v>0</v>
      </c>
      <c r="I9" s="159">
        <f t="shared" si="1"/>
        <v>0</v>
      </c>
      <c r="J9" s="159">
        <f t="shared" si="1"/>
        <v>0</v>
      </c>
      <c r="K9" s="159">
        <f t="shared" si="1"/>
        <v>0</v>
      </c>
      <c r="L9" s="159">
        <f t="shared" si="1"/>
        <v>0</v>
      </c>
      <c r="M9" s="159">
        <f t="shared" si="1"/>
        <v>0</v>
      </c>
      <c r="N9" s="301">
        <f>SUM(N3:N8)</f>
        <v>37200</v>
      </c>
    </row>
    <row r="11" spans="1:14" x14ac:dyDescent="0.3">
      <c r="N11" s="160">
        <f>SUM(B9:M9)-N9</f>
        <v>0</v>
      </c>
    </row>
  </sheetData>
  <phoneticPr fontId="25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"/>
    <pageSetUpPr fitToPage="1"/>
  </sheetPr>
  <dimension ref="A1:N11"/>
  <sheetViews>
    <sheetView workbookViewId="0">
      <selection activeCell="G4" sqref="G4"/>
    </sheetView>
  </sheetViews>
  <sheetFormatPr defaultRowHeight="14.4" x14ac:dyDescent="0.3"/>
  <cols>
    <col min="1" max="1" width="26.6640625" bestFit="1" customWidth="1"/>
    <col min="2" max="2" width="12.88671875" bestFit="1" customWidth="1"/>
    <col min="3" max="3" width="14.5546875" bestFit="1" customWidth="1"/>
    <col min="4" max="5" width="12.88671875" bestFit="1" customWidth="1"/>
    <col min="6" max="7" width="14.33203125" customWidth="1"/>
    <col min="8" max="8" width="12.88671875" bestFit="1" customWidth="1"/>
    <col min="9" max="9" width="14.5546875" bestFit="1" customWidth="1"/>
    <col min="10" max="13" width="12.88671875" bestFit="1" customWidth="1"/>
    <col min="14" max="14" width="15.5546875" bestFit="1" customWidth="1"/>
  </cols>
  <sheetData>
    <row r="1" spans="1:14" x14ac:dyDescent="0.3">
      <c r="A1" s="155" t="s">
        <v>99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3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90</v>
      </c>
    </row>
    <row r="3" spans="1:14" ht="25.5" customHeight="1" x14ac:dyDescent="0.3">
      <c r="A3" s="164" t="s">
        <v>100</v>
      </c>
      <c r="B3" s="192">
        <f>44403+135884.95+130362.91+76257+20815.15+95602+66244+111696+10005-40000</f>
        <v>651270.01</v>
      </c>
      <c r="C3" s="192">
        <f>32471+58558+185686-104000-13000+43671.56+147264.92+138896.59+162046+50000+10005+110649.93+87863+37377+128304+16350-14300+103617-8100</f>
        <v>1173360</v>
      </c>
      <c r="D3" s="192">
        <f>58974+139595.25+56776.5+179797.63+45675+34777+111696+111815+14608-41000</f>
        <v>712714.38</v>
      </c>
      <c r="E3" s="192">
        <v>769398</v>
      </c>
      <c r="F3" s="192">
        <v>740820</v>
      </c>
      <c r="G3" s="192">
        <v>736880</v>
      </c>
      <c r="H3" s="192"/>
      <c r="I3" s="192"/>
      <c r="J3" s="192"/>
      <c r="K3" s="192"/>
      <c r="L3" s="192"/>
      <c r="M3" s="192"/>
      <c r="N3" s="196">
        <f>SUM(B3:M3)</f>
        <v>4784442.3900000006</v>
      </c>
    </row>
    <row r="4" spans="1:14" x14ac:dyDescent="0.3">
      <c r="A4" s="164" t="s">
        <v>112</v>
      </c>
      <c r="B4" s="193">
        <v>80000</v>
      </c>
      <c r="C4" s="192">
        <f>5000+85000</f>
        <v>90000</v>
      </c>
      <c r="D4" s="193">
        <f>85000+36000</f>
        <v>121000</v>
      </c>
      <c r="E4" s="193">
        <v>95000</v>
      </c>
      <c r="F4" s="193">
        <v>80000</v>
      </c>
      <c r="G4" s="193">
        <v>80000</v>
      </c>
      <c r="H4" s="193"/>
      <c r="I4" s="193"/>
      <c r="J4" s="192"/>
      <c r="K4" s="192"/>
      <c r="L4" s="192"/>
      <c r="M4" s="192"/>
      <c r="N4" s="196">
        <f>SUM(B4:M4)</f>
        <v>546000</v>
      </c>
    </row>
    <row r="5" spans="1:14" x14ac:dyDescent="0.3">
      <c r="A5" s="165"/>
      <c r="B5" s="194"/>
      <c r="C5" s="186"/>
      <c r="D5" s="194"/>
      <c r="E5" s="194"/>
      <c r="F5" s="194"/>
      <c r="G5" s="194"/>
      <c r="H5" s="194"/>
      <c r="I5" s="194"/>
      <c r="J5" s="186"/>
      <c r="K5" s="186"/>
      <c r="L5" s="186"/>
      <c r="M5" s="186"/>
      <c r="N5" s="196"/>
    </row>
    <row r="6" spans="1:14" x14ac:dyDescent="0.3">
      <c r="A6" s="155" t="s">
        <v>90</v>
      </c>
      <c r="B6" s="195">
        <f t="shared" ref="B6:N6" si="0">SUM(B3:B5)</f>
        <v>731270.01</v>
      </c>
      <c r="C6" s="195">
        <f t="shared" si="0"/>
        <v>1263360</v>
      </c>
      <c r="D6" s="195">
        <f t="shared" si="0"/>
        <v>833714.38</v>
      </c>
      <c r="E6" s="195">
        <f t="shared" si="0"/>
        <v>864398</v>
      </c>
      <c r="F6" s="195">
        <f t="shared" si="0"/>
        <v>820820</v>
      </c>
      <c r="G6" s="195">
        <f t="shared" si="0"/>
        <v>816880</v>
      </c>
      <c r="H6" s="195">
        <f t="shared" si="0"/>
        <v>0</v>
      </c>
      <c r="I6" s="195">
        <f t="shared" si="0"/>
        <v>0</v>
      </c>
      <c r="J6" s="195">
        <f t="shared" si="0"/>
        <v>0</v>
      </c>
      <c r="K6" s="195">
        <f t="shared" si="0"/>
        <v>0</v>
      </c>
      <c r="L6" s="195">
        <f t="shared" si="0"/>
        <v>0</v>
      </c>
      <c r="M6" s="195">
        <f t="shared" si="0"/>
        <v>0</v>
      </c>
      <c r="N6" s="195">
        <f t="shared" si="0"/>
        <v>5330442.3900000006</v>
      </c>
    </row>
    <row r="8" spans="1:14" x14ac:dyDescent="0.3">
      <c r="N8" s="160">
        <f>SUM(B6:M6)-N6</f>
        <v>0</v>
      </c>
    </row>
    <row r="10" spans="1:14" s="167" customFormat="1" ht="15.6" x14ac:dyDescent="0.3">
      <c r="M10" s="147"/>
    </row>
    <row r="11" spans="1:14" ht="18" x14ac:dyDescent="0.35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5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N8"/>
  <sheetViews>
    <sheetView workbookViewId="0">
      <selection activeCell="F4" sqref="F4"/>
    </sheetView>
  </sheetViews>
  <sheetFormatPr defaultRowHeight="14.4" x14ac:dyDescent="0.3"/>
  <cols>
    <col min="1" max="1" width="20.33203125" style="1" bestFit="1" customWidth="1"/>
    <col min="2" max="2" width="9.109375" style="1"/>
    <col min="3" max="3" width="10.33203125" style="1" bestFit="1" customWidth="1"/>
    <col min="4" max="12" width="9.109375" style="1"/>
    <col min="13" max="14" width="15.5546875" style="1" bestFit="1" customWidth="1"/>
  </cols>
  <sheetData>
    <row r="1" spans="1:14" x14ac:dyDescent="0.3">
      <c r="A1" s="135" t="s">
        <v>33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3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3">
      <c r="A3" s="169" t="s">
        <v>101</v>
      </c>
      <c r="B3" s="178">
        <v>40000</v>
      </c>
      <c r="C3" s="178">
        <f>7000+41000+69000</f>
        <v>117000</v>
      </c>
      <c r="D3" s="178">
        <v>41000</v>
      </c>
      <c r="E3" s="178">
        <v>40019</v>
      </c>
      <c r="F3" s="178">
        <v>0</v>
      </c>
      <c r="G3" s="178"/>
      <c r="H3" s="178"/>
      <c r="I3" s="178"/>
      <c r="J3" s="178"/>
      <c r="K3" s="178"/>
      <c r="L3" s="178"/>
      <c r="M3" s="178"/>
      <c r="N3" s="178">
        <f>SUM(B3:M3)</f>
        <v>238019</v>
      </c>
    </row>
    <row r="4" spans="1:14" x14ac:dyDescent="0.3">
      <c r="A4" s="169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>
        <f>SUM(B4:M4)</f>
        <v>0</v>
      </c>
    </row>
    <row r="5" spans="1:14" x14ac:dyDescent="0.3">
      <c r="A5" s="135" t="s">
        <v>90</v>
      </c>
      <c r="B5" s="185">
        <f t="shared" ref="B5:M5" si="0">SUM(B3:B4)</f>
        <v>40000</v>
      </c>
      <c r="C5" s="185">
        <f t="shared" si="0"/>
        <v>117000</v>
      </c>
      <c r="D5" s="185">
        <f t="shared" si="0"/>
        <v>41000</v>
      </c>
      <c r="E5" s="185">
        <f t="shared" si="0"/>
        <v>40019</v>
      </c>
      <c r="F5" s="185">
        <f t="shared" si="0"/>
        <v>0</v>
      </c>
      <c r="G5" s="185">
        <f t="shared" si="0"/>
        <v>0</v>
      </c>
      <c r="H5" s="185">
        <f t="shared" si="0"/>
        <v>0</v>
      </c>
      <c r="I5" s="185">
        <f t="shared" si="0"/>
        <v>0</v>
      </c>
      <c r="J5" s="185">
        <f t="shared" si="0"/>
        <v>0</v>
      </c>
      <c r="K5" s="185">
        <f t="shared" si="0"/>
        <v>0</v>
      </c>
      <c r="L5" s="185">
        <f t="shared" si="0"/>
        <v>0</v>
      </c>
      <c r="M5" s="185">
        <f t="shared" si="0"/>
        <v>0</v>
      </c>
      <c r="N5" s="185">
        <f>SUM(N3:N4)</f>
        <v>238019</v>
      </c>
    </row>
    <row r="6" spans="1:14" x14ac:dyDescent="0.3">
      <c r="C6" s="170"/>
      <c r="D6" s="170"/>
      <c r="E6" s="170"/>
      <c r="F6" s="170"/>
      <c r="G6" s="170"/>
      <c r="H6" s="170"/>
    </row>
    <row r="7" spans="1:14" x14ac:dyDescent="0.3">
      <c r="N7" s="160">
        <f>SUM(B5:M5)-N5</f>
        <v>0</v>
      </c>
    </row>
    <row r="8" spans="1:14" x14ac:dyDescent="0.3">
      <c r="A8" s="171"/>
    </row>
  </sheetData>
  <phoneticPr fontId="25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N14"/>
  <sheetViews>
    <sheetView workbookViewId="0">
      <selection activeCell="G4" sqref="G4"/>
    </sheetView>
  </sheetViews>
  <sheetFormatPr defaultRowHeight="14.4" x14ac:dyDescent="0.3"/>
  <cols>
    <col min="1" max="1" width="28.33203125" bestFit="1" customWidth="1"/>
    <col min="2" max="2" width="11.5546875" bestFit="1" customWidth="1"/>
    <col min="3" max="5" width="10.33203125" bestFit="1" customWidth="1"/>
    <col min="6" max="6" width="12.77734375" customWidth="1"/>
    <col min="7" max="7" width="10.6640625" customWidth="1"/>
    <col min="8" max="10" width="10.33203125" bestFit="1" customWidth="1"/>
    <col min="11" max="11" width="10.88671875" customWidth="1"/>
    <col min="12" max="13" width="10.33203125" bestFit="1" customWidth="1"/>
    <col min="14" max="14" width="11.88671875" bestFit="1" customWidth="1"/>
  </cols>
  <sheetData>
    <row r="1" spans="1:14" x14ac:dyDescent="0.3">
      <c r="A1" s="155" t="s">
        <v>34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3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3">
      <c r="A3" s="152" t="s">
        <v>102</v>
      </c>
      <c r="B3" s="178">
        <f>1937.92+290687.11</f>
        <v>292625.02999999997</v>
      </c>
      <c r="C3" s="178">
        <f>1779.43+266910.97</f>
        <v>268690.39999999997</v>
      </c>
      <c r="D3" s="178">
        <f>3844.81+235153</f>
        <v>238997.81</v>
      </c>
      <c r="E3" s="178">
        <v>597653</v>
      </c>
      <c r="F3" s="178">
        <v>488923</v>
      </c>
      <c r="G3" s="178">
        <v>619586</v>
      </c>
      <c r="H3" s="178"/>
      <c r="I3" s="178"/>
      <c r="J3" s="178"/>
      <c r="K3" s="178"/>
      <c r="L3" s="178"/>
      <c r="M3" s="178"/>
      <c r="N3" s="180">
        <f>SUM(B3:M3)</f>
        <v>2506475.2400000002</v>
      </c>
    </row>
    <row r="4" spans="1:14" x14ac:dyDescent="0.3">
      <c r="A4" s="152"/>
      <c r="B4" s="178"/>
      <c r="C4" s="178" t="s">
        <v>190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>SUM(B4:M4)</f>
        <v>0</v>
      </c>
    </row>
    <row r="5" spans="1:14" x14ac:dyDescent="0.3">
      <c r="A5" s="152" t="s">
        <v>103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>SUM(B5:M5)</f>
        <v>0</v>
      </c>
    </row>
    <row r="6" spans="1:14" x14ac:dyDescent="0.3">
      <c r="A6" s="155" t="s">
        <v>90</v>
      </c>
      <c r="B6" s="185">
        <f t="shared" ref="B6:N6" si="0">SUM(B3:B5)</f>
        <v>292625.02999999997</v>
      </c>
      <c r="C6" s="185">
        <f t="shared" si="0"/>
        <v>268690.39999999997</v>
      </c>
      <c r="D6" s="185">
        <f t="shared" si="0"/>
        <v>238997.81</v>
      </c>
      <c r="E6" s="185">
        <f t="shared" si="0"/>
        <v>597653</v>
      </c>
      <c r="F6" s="185">
        <f t="shared" si="0"/>
        <v>488923</v>
      </c>
      <c r="G6" s="185">
        <f t="shared" si="0"/>
        <v>619586</v>
      </c>
      <c r="H6" s="185">
        <f t="shared" si="0"/>
        <v>0</v>
      </c>
      <c r="I6" s="185">
        <f t="shared" si="0"/>
        <v>0</v>
      </c>
      <c r="J6" s="185">
        <f t="shared" si="0"/>
        <v>0</v>
      </c>
      <c r="K6" s="185">
        <f t="shared" si="0"/>
        <v>0</v>
      </c>
      <c r="L6" s="185">
        <f t="shared" si="0"/>
        <v>0</v>
      </c>
      <c r="M6" s="185">
        <f t="shared" si="0"/>
        <v>0</v>
      </c>
      <c r="N6" s="185">
        <f t="shared" si="0"/>
        <v>2506475.2400000002</v>
      </c>
    </row>
    <row r="8" spans="1:14" x14ac:dyDescent="0.3">
      <c r="N8" s="160">
        <f>SUM(B6:M6)-N6</f>
        <v>0</v>
      </c>
    </row>
    <row r="9" spans="1:14" ht="15.6" hidden="1" x14ac:dyDescent="0.3">
      <c r="A9" s="451"/>
      <c r="B9" s="451"/>
      <c r="C9" s="451"/>
      <c r="D9" s="451"/>
      <c r="E9" s="451"/>
      <c r="F9" s="451"/>
      <c r="G9" s="451"/>
      <c r="H9" s="451"/>
      <c r="I9" s="451"/>
      <c r="J9" s="451"/>
      <c r="K9" s="451"/>
      <c r="L9" s="451"/>
    </row>
    <row r="10" spans="1:14" ht="15.6" hidden="1" x14ac:dyDescent="0.3">
      <c r="A10" s="451"/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</row>
    <row r="11" spans="1:14" hidden="1" x14ac:dyDescent="0.3"/>
    <row r="12" spans="1:14" ht="15.6" hidden="1" x14ac:dyDescent="0.3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6" hidden="1" x14ac:dyDescent="0.3">
      <c r="A13" s="449"/>
      <c r="B13" s="449"/>
      <c r="C13" s="449"/>
      <c r="D13" s="449"/>
      <c r="E13" s="449"/>
      <c r="F13" s="449"/>
      <c r="G13" s="449"/>
      <c r="H13" s="449"/>
      <c r="I13" s="449"/>
      <c r="J13" s="449"/>
      <c r="K13" s="449"/>
      <c r="L13" s="450"/>
    </row>
    <row r="14" spans="1:14" hidden="1" x14ac:dyDescent="0.3"/>
  </sheetData>
  <mergeCells count="3">
    <mergeCell ref="A13:L13"/>
    <mergeCell ref="A9:L9"/>
    <mergeCell ref="A10:L10"/>
  </mergeCells>
  <phoneticPr fontId="25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</cp:lastModifiedBy>
  <cp:revision>1</cp:revision>
  <cp:lastPrinted>2025-04-14T16:24:57Z</cp:lastPrinted>
  <dcterms:created xsi:type="dcterms:W3CDTF">2015-11-16T11:04:42Z</dcterms:created>
  <dcterms:modified xsi:type="dcterms:W3CDTF">2025-05-07T08:55:58Z</dcterms:modified>
</cp:coreProperties>
</file>