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05" yWindow="-105" windowWidth="23250" windowHeight="138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  <sheet name="Лист17" sheetId="21" r:id="rId17"/>
  </sheets>
  <definedNames>
    <definedName name="_xlnm._FilterDatabase" localSheetId="3" hidden="1">'общехоз расходы'!$A$1:$A$116</definedName>
    <definedName name="_xlnm.Print_Area" localSheetId="1">'ВСЕ затраты'!$A$1:$N$60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" l="1"/>
  <c r="L36" i="2" s="1"/>
  <c r="N57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8" i="20"/>
  <c r="N7" i="20"/>
  <c r="N6" i="20"/>
  <c r="N5" i="20"/>
  <c r="N4" i="20"/>
  <c r="N3" i="20"/>
  <c r="B1" i="20"/>
  <c r="N64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B1" i="19"/>
  <c r="N49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C9" i="17"/>
  <c r="N8" i="17"/>
  <c r="C8" i="17"/>
  <c r="N7" i="17"/>
  <c r="B7" i="17"/>
  <c r="N6" i="17"/>
  <c r="N5" i="17"/>
  <c r="D5" i="17"/>
  <c r="C5" i="17"/>
  <c r="B5" i="17"/>
  <c r="N4" i="17"/>
  <c r="N3" i="17"/>
  <c r="C3" i="17"/>
  <c r="D1" i="17"/>
  <c r="N79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D8" i="16"/>
  <c r="N7" i="16"/>
  <c r="N6" i="16"/>
  <c r="N5" i="16"/>
  <c r="N4" i="16"/>
  <c r="N3" i="16"/>
  <c r="B1" i="16"/>
  <c r="N65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B9" i="15"/>
  <c r="N8" i="15"/>
  <c r="N7" i="15"/>
  <c r="N6" i="15"/>
  <c r="N5" i="15"/>
  <c r="B5" i="15"/>
  <c r="N4" i="15"/>
  <c r="N3" i="15"/>
  <c r="B1" i="15"/>
  <c r="N38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N35" i="14"/>
  <c r="N32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9" i="14"/>
  <c r="N8" i="14"/>
  <c r="N7" i="14"/>
  <c r="N6" i="14"/>
  <c r="N5" i="14"/>
  <c r="N4" i="14"/>
  <c r="N3" i="14"/>
  <c r="D3" i="14"/>
  <c r="B1" i="14"/>
  <c r="N12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N9" i="12"/>
  <c r="N8" i="12"/>
  <c r="N7" i="12"/>
  <c r="N6" i="12"/>
  <c r="N5" i="12"/>
  <c r="N4" i="12"/>
  <c r="N3" i="12"/>
  <c r="B1" i="12"/>
  <c r="N6" i="9"/>
  <c r="M6" i="9"/>
  <c r="L6" i="9"/>
  <c r="K6" i="9"/>
  <c r="J6" i="9"/>
  <c r="I6" i="9"/>
  <c r="H6" i="9"/>
  <c r="G6" i="9"/>
  <c r="F6" i="9"/>
  <c r="E6" i="9"/>
  <c r="D6" i="9"/>
  <c r="C6" i="9"/>
  <c r="B6" i="9"/>
  <c r="N5" i="9"/>
  <c r="N4" i="9"/>
  <c r="N3" i="9"/>
  <c r="D3" i="9"/>
  <c r="C3" i="9"/>
  <c r="B3" i="9"/>
  <c r="B1" i="9"/>
  <c r="N7" i="8"/>
  <c r="N5" i="8"/>
  <c r="M5" i="8"/>
  <c r="L5" i="8"/>
  <c r="K5" i="8"/>
  <c r="J5" i="8"/>
  <c r="I5" i="8"/>
  <c r="H5" i="8"/>
  <c r="G5" i="8"/>
  <c r="F5" i="8"/>
  <c r="E5" i="8"/>
  <c r="D5" i="8"/>
  <c r="C5" i="8"/>
  <c r="B5" i="8"/>
  <c r="N4" i="8"/>
  <c r="N3" i="8"/>
  <c r="C3" i="8"/>
  <c r="B1" i="8"/>
  <c r="M6" i="7"/>
  <c r="L6" i="7"/>
  <c r="K6" i="7"/>
  <c r="J6" i="7"/>
  <c r="I6" i="7"/>
  <c r="H6" i="7"/>
  <c r="G6" i="7"/>
  <c r="F6" i="7"/>
  <c r="E6" i="7"/>
  <c r="D6" i="7"/>
  <c r="C6" i="7"/>
  <c r="B6" i="7"/>
  <c r="D21" i="2" s="1"/>
  <c r="N4" i="7"/>
  <c r="D4" i="7"/>
  <c r="C4" i="7"/>
  <c r="N3" i="7"/>
  <c r="N6" i="7" s="1"/>
  <c r="D3" i="7"/>
  <c r="C3" i="7"/>
  <c r="B1" i="7"/>
  <c r="N11" i="6"/>
  <c r="N9" i="6"/>
  <c r="M9" i="6"/>
  <c r="L9" i="6"/>
  <c r="K9" i="6"/>
  <c r="J9" i="6"/>
  <c r="I9" i="6"/>
  <c r="H9" i="6"/>
  <c r="G9" i="6"/>
  <c r="F9" i="6"/>
  <c r="E9" i="6"/>
  <c r="D9" i="6"/>
  <c r="C9" i="6"/>
  <c r="B9" i="6"/>
  <c r="N7" i="6"/>
  <c r="N6" i="6"/>
  <c r="N5" i="6"/>
  <c r="N4" i="6"/>
  <c r="N3" i="6"/>
  <c r="B1" i="6"/>
  <c r="N12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N7" i="5"/>
  <c r="N6" i="5"/>
  <c r="N5" i="5"/>
  <c r="N4" i="5"/>
  <c r="C4" i="5"/>
  <c r="N3" i="5"/>
  <c r="B1" i="5"/>
  <c r="N116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N108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C26" i="4"/>
  <c r="N25" i="4"/>
  <c r="N24" i="4"/>
  <c r="N23" i="4"/>
  <c r="N22" i="4"/>
  <c r="N21" i="4"/>
  <c r="B21" i="4"/>
  <c r="N20" i="4"/>
  <c r="B20" i="4"/>
  <c r="N19" i="4"/>
  <c r="N18" i="4"/>
  <c r="N17" i="4"/>
  <c r="B17" i="4"/>
  <c r="N16" i="4"/>
  <c r="B16" i="4"/>
  <c r="N15" i="4"/>
  <c r="D15" i="4"/>
  <c r="C15" i="4"/>
  <c r="B15" i="4"/>
  <c r="N14" i="4"/>
  <c r="N13" i="4"/>
  <c r="C13" i="4"/>
  <c r="B13" i="4"/>
  <c r="N12" i="4"/>
  <c r="N11" i="4"/>
  <c r="N10" i="4"/>
  <c r="B10" i="4"/>
  <c r="N9" i="4"/>
  <c r="B9" i="4"/>
  <c r="N8" i="4"/>
  <c r="N7" i="4"/>
  <c r="B7" i="4"/>
  <c r="N6" i="4"/>
  <c r="N5" i="4"/>
  <c r="N4" i="4"/>
  <c r="N3" i="4"/>
  <c r="B1" i="4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U32" i="3"/>
  <c r="T32" i="3"/>
  <c r="G32" i="3"/>
  <c r="U31" i="3"/>
  <c r="T31" i="3"/>
  <c r="G31" i="3"/>
  <c r="U30" i="3"/>
  <c r="T30" i="3"/>
  <c r="G30" i="3"/>
  <c r="U29" i="3"/>
  <c r="T29" i="3"/>
  <c r="G29" i="3"/>
  <c r="U28" i="3"/>
  <c r="T28" i="3"/>
  <c r="G28" i="3"/>
  <c r="U27" i="3"/>
  <c r="T27" i="3"/>
  <c r="G27" i="3"/>
  <c r="U26" i="3"/>
  <c r="T26" i="3"/>
  <c r="G26" i="3"/>
  <c r="U25" i="3"/>
  <c r="T25" i="3"/>
  <c r="G25" i="3"/>
  <c r="U24" i="3"/>
  <c r="T24" i="3"/>
  <c r="G24" i="3"/>
  <c r="F24" i="3"/>
  <c r="U23" i="3"/>
  <c r="T23" i="3"/>
  <c r="G23" i="3"/>
  <c r="U22" i="3"/>
  <c r="T22" i="3"/>
  <c r="G22" i="3"/>
  <c r="U21" i="3"/>
  <c r="T21" i="3"/>
  <c r="G21" i="3"/>
  <c r="U20" i="3"/>
  <c r="T20" i="3"/>
  <c r="G20" i="3"/>
  <c r="U19" i="3"/>
  <c r="T19" i="3"/>
  <c r="G19" i="3"/>
  <c r="U18" i="3"/>
  <c r="T18" i="3"/>
  <c r="G18" i="3"/>
  <c r="U17" i="3"/>
  <c r="T17" i="3"/>
  <c r="G17" i="3"/>
  <c r="U16" i="3"/>
  <c r="T16" i="3"/>
  <c r="G16" i="3"/>
  <c r="U15" i="3"/>
  <c r="T15" i="3"/>
  <c r="G15" i="3"/>
  <c r="U14" i="3"/>
  <c r="T14" i="3"/>
  <c r="G14" i="3"/>
  <c r="U13" i="3"/>
  <c r="T13" i="3"/>
  <c r="G13" i="3"/>
  <c r="U12" i="3"/>
  <c r="T12" i="3"/>
  <c r="G12" i="3"/>
  <c r="T10" i="3"/>
  <c r="H10" i="3"/>
  <c r="G10" i="3"/>
  <c r="F10" i="3"/>
  <c r="T9" i="3"/>
  <c r="H9" i="3"/>
  <c r="T8" i="3"/>
  <c r="T7" i="3"/>
  <c r="T6" i="3"/>
  <c r="T5" i="3"/>
  <c r="T4" i="3"/>
  <c r="G4" i="3"/>
  <c r="F68" i="2"/>
  <c r="E68" i="2"/>
  <c r="F67" i="2"/>
  <c r="E67" i="2"/>
  <c r="F66" i="2"/>
  <c r="E66" i="2"/>
  <c r="D66" i="2"/>
  <c r="E59" i="2"/>
  <c r="G48" i="2"/>
  <c r="G67" i="2" s="1"/>
  <c r="F48" i="2"/>
  <c r="E48" i="2"/>
  <c r="C48" i="2"/>
  <c r="B48" i="2"/>
  <c r="N46" i="2"/>
  <c r="L46" i="2"/>
  <c r="K46" i="2"/>
  <c r="J46" i="2"/>
  <c r="I46" i="2"/>
  <c r="H46" i="2"/>
  <c r="G46" i="2"/>
  <c r="F46" i="2"/>
  <c r="E46" i="2"/>
  <c r="D46" i="2"/>
  <c r="C46" i="2"/>
  <c r="B46" i="2"/>
  <c r="C45" i="2"/>
  <c r="N44" i="2"/>
  <c r="L44" i="2"/>
  <c r="C44" i="2"/>
  <c r="N43" i="2"/>
  <c r="L43" i="2"/>
  <c r="C43" i="2"/>
  <c r="N42" i="2"/>
  <c r="L42" i="2"/>
  <c r="F42" i="2"/>
  <c r="C42" i="2"/>
  <c r="N41" i="2"/>
  <c r="L41" i="2"/>
  <c r="C41" i="2"/>
  <c r="N40" i="2"/>
  <c r="L40" i="2"/>
  <c r="C40" i="2"/>
  <c r="N39" i="2"/>
  <c r="L39" i="2"/>
  <c r="F39" i="2"/>
  <c r="C39" i="2"/>
  <c r="H37" i="2"/>
  <c r="H48" i="2" s="1"/>
  <c r="H67" i="2" s="1"/>
  <c r="G37" i="2"/>
  <c r="F37" i="2"/>
  <c r="E37" i="2"/>
  <c r="C37" i="2"/>
  <c r="B37" i="2"/>
  <c r="J36" i="2"/>
  <c r="I36" i="2"/>
  <c r="G36" i="2"/>
  <c r="F36" i="2"/>
  <c r="E36" i="2"/>
  <c r="D36" i="2"/>
  <c r="C36" i="2"/>
  <c r="C35" i="2"/>
  <c r="L34" i="2"/>
  <c r="N34" i="2" s="1"/>
  <c r="C34" i="2"/>
  <c r="N33" i="2"/>
  <c r="L33" i="2"/>
  <c r="E33" i="2"/>
  <c r="C33" i="2"/>
  <c r="N32" i="2"/>
  <c r="L32" i="2"/>
  <c r="E32" i="2"/>
  <c r="C32" i="2"/>
  <c r="N31" i="2"/>
  <c r="L31" i="2"/>
  <c r="C31" i="2"/>
  <c r="N30" i="2"/>
  <c r="M30" i="2"/>
  <c r="L30" i="2"/>
  <c r="K30" i="2"/>
  <c r="J30" i="2"/>
  <c r="I30" i="2"/>
  <c r="H30" i="2"/>
  <c r="F30" i="2"/>
  <c r="E30" i="2"/>
  <c r="D30" i="2"/>
  <c r="C30" i="2"/>
  <c r="N29" i="2"/>
  <c r="M29" i="2"/>
  <c r="L29" i="2"/>
  <c r="K29" i="2"/>
  <c r="J29" i="2"/>
  <c r="I29" i="2"/>
  <c r="H29" i="2"/>
  <c r="F29" i="2"/>
  <c r="E29" i="2"/>
  <c r="D29" i="2"/>
  <c r="C29" i="2"/>
  <c r="N28" i="2"/>
  <c r="M28" i="2"/>
  <c r="L28" i="2"/>
  <c r="K28" i="2"/>
  <c r="J28" i="2"/>
  <c r="I28" i="2"/>
  <c r="H28" i="2"/>
  <c r="F28" i="2"/>
  <c r="E28" i="2"/>
  <c r="D28" i="2"/>
  <c r="C28" i="2"/>
  <c r="N27" i="2"/>
  <c r="M27" i="2"/>
  <c r="L27" i="2"/>
  <c r="K27" i="2"/>
  <c r="J27" i="2"/>
  <c r="I27" i="2"/>
  <c r="H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E25" i="2"/>
  <c r="C25" i="2"/>
  <c r="N24" i="2"/>
  <c r="M24" i="2"/>
  <c r="L24" i="2"/>
  <c r="K24" i="2"/>
  <c r="J24" i="2"/>
  <c r="I24" i="2"/>
  <c r="H24" i="2"/>
  <c r="F24" i="2"/>
  <c r="E24" i="2"/>
  <c r="D24" i="2"/>
  <c r="C24" i="2"/>
  <c r="M23" i="2"/>
  <c r="K23" i="2"/>
  <c r="J23" i="2"/>
  <c r="I23" i="2"/>
  <c r="F23" i="2"/>
  <c r="E23" i="2"/>
  <c r="C23" i="2"/>
  <c r="N22" i="2"/>
  <c r="M22" i="2"/>
  <c r="L22" i="2"/>
  <c r="K22" i="2"/>
  <c r="J22" i="2"/>
  <c r="I22" i="2"/>
  <c r="H22" i="2"/>
  <c r="F22" i="2"/>
  <c r="E22" i="2"/>
  <c r="D22" i="2"/>
  <c r="C22" i="2"/>
  <c r="M21" i="2"/>
  <c r="K21" i="2"/>
  <c r="J21" i="2"/>
  <c r="I21" i="2"/>
  <c r="I37" i="2" s="1"/>
  <c r="I48" i="2" s="1"/>
  <c r="I67" i="2" s="1"/>
  <c r="F21" i="2"/>
  <c r="E21" i="2"/>
  <c r="C21" i="2"/>
  <c r="N20" i="2"/>
  <c r="M20" i="2"/>
  <c r="L20" i="2"/>
  <c r="K20" i="2"/>
  <c r="J20" i="2"/>
  <c r="I20" i="2"/>
  <c r="H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F18" i="2"/>
  <c r="E18" i="2"/>
  <c r="D18" i="2"/>
  <c r="C18" i="2"/>
  <c r="B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F14" i="2"/>
  <c r="E14" i="2"/>
  <c r="D14" i="2"/>
  <c r="L12" i="2"/>
  <c r="L11" i="2"/>
  <c r="L10" i="2"/>
  <c r="F10" i="2"/>
  <c r="E10" i="2"/>
  <c r="L9" i="2"/>
  <c r="N8" i="2"/>
  <c r="M8" i="2"/>
  <c r="L8" i="2"/>
  <c r="F8" i="2"/>
  <c r="E8" i="2"/>
  <c r="D8" i="2"/>
  <c r="C8" i="2"/>
  <c r="N7" i="2"/>
  <c r="M7" i="2"/>
  <c r="L7" i="2"/>
  <c r="F7" i="2"/>
  <c r="C7" i="2"/>
  <c r="N6" i="2"/>
  <c r="L6" i="2"/>
  <c r="N5" i="2"/>
  <c r="M5" i="2"/>
  <c r="L5" i="2"/>
  <c r="F5" i="2"/>
  <c r="E5" i="2"/>
  <c r="D5" i="2"/>
  <c r="C5" i="2"/>
  <c r="K4" i="2"/>
  <c r="J4" i="2"/>
  <c r="I4" i="2"/>
  <c r="H4" i="2"/>
  <c r="G4" i="2"/>
  <c r="F4" i="2"/>
  <c r="E4" i="2"/>
  <c r="D4" i="2"/>
  <c r="M3" i="2"/>
  <c r="L3" i="2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G32" i="1"/>
  <c r="F32" i="1"/>
  <c r="W31" i="1"/>
  <c r="V31" i="1"/>
  <c r="U31" i="1"/>
  <c r="N31" i="1"/>
  <c r="M31" i="1"/>
  <c r="L31" i="1"/>
  <c r="K31" i="1"/>
  <c r="J31" i="1"/>
  <c r="I31" i="1"/>
  <c r="G31" i="1"/>
  <c r="W30" i="1"/>
  <c r="V30" i="1"/>
  <c r="U30" i="1"/>
  <c r="N30" i="1"/>
  <c r="M30" i="1"/>
  <c r="L30" i="1"/>
  <c r="K30" i="1"/>
  <c r="J30" i="1"/>
  <c r="I30" i="1"/>
  <c r="G30" i="1"/>
  <c r="W29" i="1"/>
  <c r="V29" i="1"/>
  <c r="U29" i="1"/>
  <c r="N29" i="1"/>
  <c r="M29" i="1"/>
  <c r="L29" i="1"/>
  <c r="K29" i="1"/>
  <c r="J29" i="1"/>
  <c r="I29" i="1"/>
  <c r="G29" i="1"/>
  <c r="W28" i="1"/>
  <c r="V28" i="1"/>
  <c r="U28" i="1"/>
  <c r="N28" i="1"/>
  <c r="M28" i="1"/>
  <c r="L28" i="1"/>
  <c r="K28" i="1"/>
  <c r="J28" i="1"/>
  <c r="I28" i="1"/>
  <c r="G28" i="1"/>
  <c r="W27" i="1"/>
  <c r="V27" i="1"/>
  <c r="U27" i="1"/>
  <c r="N27" i="1"/>
  <c r="M27" i="1"/>
  <c r="L27" i="1"/>
  <c r="K27" i="1"/>
  <c r="J27" i="1"/>
  <c r="I27" i="1"/>
  <c r="G27" i="1"/>
  <c r="W26" i="1"/>
  <c r="V26" i="1"/>
  <c r="U26" i="1"/>
  <c r="N26" i="1"/>
  <c r="M26" i="1"/>
  <c r="L26" i="1"/>
  <c r="K26" i="1"/>
  <c r="J26" i="1"/>
  <c r="I26" i="1"/>
  <c r="G26" i="1"/>
  <c r="W25" i="1"/>
  <c r="V25" i="1"/>
  <c r="U25" i="1"/>
  <c r="N25" i="1"/>
  <c r="M25" i="1"/>
  <c r="L25" i="1"/>
  <c r="K25" i="1"/>
  <c r="J25" i="1"/>
  <c r="I25" i="1"/>
  <c r="G25" i="1"/>
  <c r="W24" i="1"/>
  <c r="V24" i="1"/>
  <c r="U24" i="1"/>
  <c r="N24" i="1"/>
  <c r="M24" i="1"/>
  <c r="L24" i="1"/>
  <c r="K24" i="1"/>
  <c r="J24" i="1"/>
  <c r="I24" i="1"/>
  <c r="G24" i="1"/>
  <c r="F24" i="1"/>
  <c r="W23" i="1"/>
  <c r="V23" i="1"/>
  <c r="U23" i="1"/>
  <c r="N23" i="1"/>
  <c r="M23" i="1"/>
  <c r="L23" i="1"/>
  <c r="K23" i="1"/>
  <c r="J23" i="1"/>
  <c r="I23" i="1"/>
  <c r="G23" i="1"/>
  <c r="W22" i="1"/>
  <c r="V22" i="1"/>
  <c r="U22" i="1"/>
  <c r="N22" i="1"/>
  <c r="M22" i="1"/>
  <c r="L22" i="1"/>
  <c r="K22" i="1"/>
  <c r="J22" i="1"/>
  <c r="I22" i="1"/>
  <c r="G22" i="1"/>
  <c r="W21" i="1"/>
  <c r="V21" i="1"/>
  <c r="U21" i="1"/>
  <c r="N21" i="1"/>
  <c r="M21" i="1"/>
  <c r="L21" i="1"/>
  <c r="K21" i="1"/>
  <c r="J21" i="1"/>
  <c r="I21" i="1"/>
  <c r="G21" i="1"/>
  <c r="W20" i="1"/>
  <c r="V20" i="1"/>
  <c r="U20" i="1"/>
  <c r="N20" i="1"/>
  <c r="M20" i="1"/>
  <c r="L20" i="1"/>
  <c r="K20" i="1"/>
  <c r="J20" i="1"/>
  <c r="I20" i="1"/>
  <c r="G20" i="1"/>
  <c r="W19" i="1"/>
  <c r="V19" i="1"/>
  <c r="U19" i="1"/>
  <c r="N19" i="1"/>
  <c r="M19" i="1"/>
  <c r="L19" i="1"/>
  <c r="K19" i="1"/>
  <c r="J19" i="1"/>
  <c r="I19" i="1"/>
  <c r="G19" i="1"/>
  <c r="W18" i="1"/>
  <c r="V18" i="1"/>
  <c r="U18" i="1"/>
  <c r="N18" i="1"/>
  <c r="M18" i="1"/>
  <c r="L18" i="1"/>
  <c r="K18" i="1"/>
  <c r="J18" i="1"/>
  <c r="I18" i="1"/>
  <c r="G18" i="1"/>
  <c r="W17" i="1"/>
  <c r="V17" i="1"/>
  <c r="U17" i="1"/>
  <c r="N17" i="1"/>
  <c r="M17" i="1"/>
  <c r="L17" i="1"/>
  <c r="K17" i="1"/>
  <c r="J17" i="1"/>
  <c r="I17" i="1"/>
  <c r="G17" i="1"/>
  <c r="V16" i="1"/>
  <c r="U16" i="1"/>
  <c r="W16" i="1" s="1"/>
  <c r="M16" i="1"/>
  <c r="L16" i="1"/>
  <c r="K16" i="1"/>
  <c r="J16" i="1"/>
  <c r="I16" i="1"/>
  <c r="G16" i="1"/>
  <c r="W15" i="1"/>
  <c r="V15" i="1"/>
  <c r="U15" i="1"/>
  <c r="N15" i="1"/>
  <c r="M15" i="1"/>
  <c r="L15" i="1"/>
  <c r="K15" i="1"/>
  <c r="J15" i="1"/>
  <c r="I15" i="1"/>
  <c r="G15" i="1"/>
  <c r="W14" i="1"/>
  <c r="V14" i="1"/>
  <c r="U14" i="1"/>
  <c r="N14" i="1"/>
  <c r="M14" i="1"/>
  <c r="L14" i="1"/>
  <c r="K14" i="1"/>
  <c r="J14" i="1"/>
  <c r="I14" i="1"/>
  <c r="G14" i="1"/>
  <c r="W13" i="1"/>
  <c r="V13" i="1"/>
  <c r="U13" i="1"/>
  <c r="N13" i="1"/>
  <c r="M13" i="1"/>
  <c r="L13" i="1"/>
  <c r="K13" i="1"/>
  <c r="J13" i="1"/>
  <c r="I13" i="1"/>
  <c r="G13" i="1"/>
  <c r="W12" i="1"/>
  <c r="V12" i="1"/>
  <c r="U12" i="1"/>
  <c r="N12" i="1"/>
  <c r="M12" i="1"/>
  <c r="L12" i="1"/>
  <c r="K12" i="1"/>
  <c r="J12" i="1"/>
  <c r="I12" i="1"/>
  <c r="G12" i="1"/>
  <c r="W10" i="1"/>
  <c r="V10" i="1"/>
  <c r="U10" i="1"/>
  <c r="N10" i="1"/>
  <c r="M10" i="1"/>
  <c r="L10" i="1"/>
  <c r="K10" i="1"/>
  <c r="J10" i="1"/>
  <c r="I10" i="1"/>
  <c r="H10" i="1"/>
  <c r="G10" i="1"/>
  <c r="F10" i="1"/>
  <c r="W9" i="1"/>
  <c r="V9" i="1"/>
  <c r="U9" i="1"/>
  <c r="I9" i="1"/>
  <c r="U8" i="1"/>
  <c r="W7" i="1"/>
  <c r="V7" i="1"/>
  <c r="U7" i="1"/>
  <c r="I7" i="1"/>
  <c r="G7" i="1"/>
  <c r="U6" i="1"/>
  <c r="W5" i="1"/>
  <c r="V5" i="1"/>
  <c r="U5" i="1"/>
  <c r="G5" i="1"/>
  <c r="K37" i="2" l="1"/>
  <c r="K48" i="2" s="1"/>
  <c r="K67" i="2" s="1"/>
  <c r="L23" i="2"/>
  <c r="N23" i="2" s="1"/>
  <c r="N8" i="7"/>
  <c r="J37" i="2"/>
  <c r="J48" i="2" s="1"/>
  <c r="J67" i="2" s="1"/>
  <c r="N8" i="9"/>
  <c r="D37" i="2"/>
  <c r="D48" i="2" s="1"/>
  <c r="L21" i="2"/>
  <c r="N21" i="2" s="1"/>
  <c r="N16" i="1"/>
  <c r="N32" i="1" s="1"/>
  <c r="N36" i="2"/>
  <c r="N37" i="2" l="1"/>
  <c r="N48" i="2" s="1"/>
  <c r="L37" i="2"/>
  <c r="L48" i="2" s="1"/>
  <c r="D68" i="2"/>
  <c r="D67" i="2"/>
</calcChain>
</file>

<file path=xl/sharedStrings.xml><?xml version="1.0" encoding="utf-8"?>
<sst xmlns="http://schemas.openxmlformats.org/spreadsheetml/2006/main" count="675" uniqueCount="405">
  <si>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</si>
  <si>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</si>
  <si>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</si>
  <si>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</si>
  <si>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</si>
  <si>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</si>
  <si>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</si>
  <si>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</si>
  <si>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</si>
  <si>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</si>
  <si>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</si>
  <si>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</si>
  <si>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</si>
  <si>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</si>
  <si>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</si>
  <si>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</si>
  <si>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</si>
  <si>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</si>
  <si>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</si>
  <si>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</si>
  <si>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</si>
  <si>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</si>
  <si>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</si>
  <si>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</si>
  <si>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</si>
  <si>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</si>
  <si>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</si>
  <si>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</si>
  <si>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</si>
  <si>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</si>
  <si>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</si>
  <si>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</si>
  <si>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</si>
  <si>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</si>
  <si>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</si>
  <si>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</si>
  <si>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</si>
  <si>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</si>
  <si>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</si>
  <si>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</si>
  <si>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</si>
  <si>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</si>
  <si>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</si>
  <si>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</si>
  <si>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</si>
  <si>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</si>
  <si>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</si>
  <si>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</si>
  <si>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</si>
  <si>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</si>
  <si>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</si>
  <si>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</si>
  <si>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</si>
  <si>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2024-2025гг.</t>
  </si>
  <si>
    <t>Исполнение финансового плана ТСН "КП "Согласие" за ноябрь 2024 - май 2025</t>
  </si>
  <si>
    <t>Руб.</t>
  </si>
  <si>
    <t>Лимит на месяц</t>
  </si>
  <si>
    <t>Остаток на начало периода</t>
  </si>
  <si>
    <t>Поступл. ден ср. от сбора ЧВ</t>
  </si>
  <si>
    <t>Начальный взнос за подключение</t>
  </si>
  <si>
    <t>Поступл. оплаты за въезд, пропуска</t>
  </si>
  <si>
    <t>Поступление оплаты по коммерч. дог. , РСК, % по депозитам</t>
  </si>
  <si>
    <t>Пакеты</t>
  </si>
  <si>
    <t>Возмещение затрат на эл.эн.</t>
  </si>
  <si>
    <t>Возврат денежных средств прочий</t>
  </si>
  <si>
    <t>Возврат денежных средств с п/о</t>
  </si>
  <si>
    <t>Компенсация судебных издержек</t>
  </si>
  <si>
    <t>Баланс платежной системы</t>
  </si>
  <si>
    <t>ИТОГО ВЗНОСЫ И ДОХОДЫ</t>
  </si>
  <si>
    <t>ИТОГО С ВХОДЯЩИМ ОСТАТКОМ</t>
  </si>
  <si>
    <t xml:space="preserve">Заработная плата </t>
  </si>
  <si>
    <t>Содержание канализации</t>
  </si>
  <si>
    <t>Электроснабжение</t>
  </si>
  <si>
    <t xml:space="preserve"> </t>
  </si>
  <si>
    <t>Содержание спецавтотехники, автотранспорта</t>
  </si>
  <si>
    <t>Асфальтирование дорог, ямочный ремонт</t>
  </si>
  <si>
    <t>х</t>
  </si>
  <si>
    <t>Фонд поощрения ПП</t>
  </si>
  <si>
    <t>Фонд поощрения РК</t>
  </si>
  <si>
    <t>Социальн. налоги с Фонда поощр. ПП</t>
  </si>
  <si>
    <t>Социальн. налоги с Фонда поощр. РК</t>
  </si>
  <si>
    <t>ИТОГО РАСХОДЫ НА СОДЕРЖАНИЕ ТСН:</t>
  </si>
  <si>
    <t>Ремонт водопровода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</si>
  <si>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</si>
  <si>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</si>
  <si>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</si>
  <si>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</si>
  <si>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</si>
  <si>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</si>
  <si>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РАСХОДЫ НА РАЗВИТИЕ ТСН, в том числе:</t>
  </si>
  <si>
    <t>ОСТАТОК денежных средств на конец расчетного периода</t>
  </si>
  <si>
    <t>Депозит</t>
  </si>
  <si>
    <t>ТЕРМИНАЛ</t>
  </si>
  <si>
    <t>на начало</t>
  </si>
  <si>
    <t>на конец</t>
  </si>
  <si>
    <t>РЕЕСТРЫ СБ</t>
  </si>
  <si>
    <t>71сч. п/отчет</t>
  </si>
  <si>
    <t>БАНК 51 сч.</t>
  </si>
  <si>
    <t>приход</t>
  </si>
  <si>
    <t>расход</t>
  </si>
  <si>
    <t>Внутреннее перемещение ДС</t>
  </si>
  <si>
    <t>ПРОВЕРКА</t>
  </si>
  <si>
    <t>остаток на р/с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</si>
  <si>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</si>
  <si>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</si>
  <si>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</si>
  <si>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</si>
  <si>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</si>
  <si>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</si>
  <si>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</si>
  <si>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</si>
  <si>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</si>
  <si>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</si>
  <si>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</si>
  <si>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</si>
  <si>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</si>
  <si>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</si>
  <si>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</si>
  <si>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</si>
  <si>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</si>
  <si>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</si>
  <si>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</si>
  <si>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</si>
  <si>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</si>
  <si>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</si>
  <si>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</si>
  <si>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</si>
  <si>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</si>
  <si>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</si>
  <si>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</si>
  <si>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УСН</t>
  </si>
  <si>
    <t>вода питьевая</t>
  </si>
  <si>
    <t>гос пошлина</t>
  </si>
  <si>
    <t>канц. Товары</t>
  </si>
  <si>
    <t>доставка</t>
  </si>
  <si>
    <t>баннер</t>
  </si>
  <si>
    <t>услуги нотариуса</t>
  </si>
  <si>
    <t>хоз.товары</t>
  </si>
  <si>
    <t>пломба пластиковая</t>
  </si>
  <si>
    <t>почтовые расходы</t>
  </si>
  <si>
    <t>баннер новогодний 2 шт</t>
  </si>
  <si>
    <t>краска</t>
  </si>
  <si>
    <t>лопаты снег., скотч, мешки, хомуты</t>
  </si>
  <si>
    <t>спец.одежда</t>
  </si>
  <si>
    <t>перчатки</t>
  </si>
  <si>
    <t>ключи гаечные</t>
  </si>
  <si>
    <t>молоток</t>
  </si>
  <si>
    <t>топор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</si>
  <si>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</si>
  <si>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</si>
  <si>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</si>
  <si>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</si>
  <si>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</si>
  <si>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</si>
  <si>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</si>
  <si>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</si>
  <si>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уголок крепежный</t>
  </si>
  <si>
    <t>картридж д/принтера</t>
  </si>
  <si>
    <t>крепеж</t>
  </si>
  <si>
    <t>масл.радиатор</t>
  </si>
  <si>
    <t>стиральный порошок</t>
  </si>
  <si>
    <t>лопаты, перчатки, мешки</t>
  </si>
  <si>
    <t>полотенца,мыло,пакеты,салфетки</t>
  </si>
  <si>
    <t>калькулятор</t>
  </si>
  <si>
    <t>уголок</t>
  </si>
  <si>
    <t>диск</t>
  </si>
  <si>
    <t>арматура</t>
  </si>
  <si>
    <t>Болгарка</t>
  </si>
  <si>
    <t>розетка</t>
  </si>
  <si>
    <t>лампа</t>
  </si>
  <si>
    <t>бита</t>
  </si>
  <si>
    <t>замок</t>
  </si>
  <si>
    <t>упоры</t>
  </si>
  <si>
    <t>пропуска</t>
  </si>
  <si>
    <t>газета объявл.</t>
  </si>
  <si>
    <t>ТСБ</t>
  </si>
  <si>
    <t>Докум. На лестницу</t>
  </si>
  <si>
    <t>штраф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</si>
  <si>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</si>
  <si>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</si>
  <si>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</si>
  <si>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</si>
  <si>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Скотч</t>
  </si>
  <si>
    <t>цепь пильная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</si>
  <si>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</si>
  <si>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</si>
  <si>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</si>
  <si>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</si>
  <si>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</si>
  <si>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</si>
  <si>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</si>
  <si>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</si>
  <si>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</si>
  <si>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</si>
  <si>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флаги</t>
  </si>
  <si>
    <t>ремонт унитаза</t>
  </si>
  <si>
    <t>Демонтаж блока</t>
  </si>
  <si>
    <t>диск пильный</t>
  </si>
  <si>
    <t>Замок навесной</t>
  </si>
  <si>
    <t>файл бюрократ</t>
  </si>
  <si>
    <t>пескобетон,сетка сварная</t>
  </si>
  <si>
    <t>портландцемент</t>
  </si>
  <si>
    <t>картридер</t>
  </si>
  <si>
    <t>Ножницы</t>
  </si>
  <si>
    <t>Нож</t>
  </si>
  <si>
    <t>Пакет</t>
  </si>
  <si>
    <t>Масло</t>
  </si>
  <si>
    <t>Щетка по металлу</t>
  </si>
  <si>
    <t>ГСП КНАУФ</t>
  </si>
  <si>
    <t>Профиль</t>
  </si>
  <si>
    <t>Плащ</t>
  </si>
  <si>
    <t>Насадка</t>
  </si>
  <si>
    <t>ДГВ</t>
  </si>
  <si>
    <t>Газ для паяльника</t>
  </si>
  <si>
    <t>Саморезы</t>
  </si>
  <si>
    <t>Ножницы по металлу</t>
  </si>
  <si>
    <t>Стропа крепления груза</t>
  </si>
  <si>
    <t>Краска</t>
  </si>
  <si>
    <t>Валик</t>
  </si>
  <si>
    <t>Бюгель</t>
  </si>
  <si>
    <t>Петли</t>
  </si>
  <si>
    <t>Ушки</t>
  </si>
  <si>
    <t>Мешки</t>
  </si>
  <si>
    <t>Сверло</t>
  </si>
  <si>
    <t>Ручки шарик.</t>
  </si>
  <si>
    <t>Таблички</t>
  </si>
  <si>
    <t>Бирки для ключей</t>
  </si>
  <si>
    <t>Печатная продукция</t>
  </si>
  <si>
    <t>Пленка для ламинирования</t>
  </si>
  <si>
    <t>Кисть</t>
  </si>
  <si>
    <t>Мешки черн</t>
  </si>
  <si>
    <t>Ср-во смазочн</t>
  </si>
  <si>
    <t>Шестигранник</t>
  </si>
  <si>
    <t>Стир порошок</t>
  </si>
  <si>
    <t>Линолиум</t>
  </si>
  <si>
    <t>Дверная пружина</t>
  </si>
  <si>
    <t>1С</t>
  </si>
  <si>
    <t>Сайт</t>
  </si>
  <si>
    <t>СБИС отчетность</t>
  </si>
  <si>
    <t>Яндекс-диск</t>
  </si>
  <si>
    <t>ККТ</t>
  </si>
  <si>
    <t>Интернет</t>
  </si>
  <si>
    <t>МТС</t>
  </si>
  <si>
    <t>Мегафон</t>
  </si>
  <si>
    <t>Ростелеком</t>
  </si>
  <si>
    <t>Заработная плата</t>
  </si>
  <si>
    <t>Заработная плата, отпускные</t>
  </si>
  <si>
    <t>Главный бухгалтер</t>
  </si>
  <si>
    <t>Выплата премий сотрудникам</t>
  </si>
  <si>
    <t>Налоги в   ПФР, ФСС ФФОМС</t>
  </si>
  <si>
    <t xml:space="preserve">              </t>
  </si>
  <si>
    <t>Пени, штрафы</t>
  </si>
  <si>
    <t>Гринсервис</t>
  </si>
  <si>
    <t>Рег. Оператор</t>
  </si>
  <si>
    <t>Водный налог</t>
  </si>
  <si>
    <t>хомут ремонтный</t>
  </si>
  <si>
    <t>анализ воды</t>
  </si>
  <si>
    <t>подшипник универсальный</t>
  </si>
  <si>
    <t>хомут, штуцер</t>
  </si>
  <si>
    <t>сантехника</t>
  </si>
  <si>
    <t>датчик давлен. Воды</t>
  </si>
  <si>
    <t>попл. Выкл. Для насоса</t>
  </si>
  <si>
    <t>кран</t>
  </si>
  <si>
    <t>хомут</t>
  </si>
  <si>
    <t>Настройка клапанов управления</t>
  </si>
  <si>
    <t>Прокладка резиновая</t>
  </si>
  <si>
    <t>Фланец</t>
  </si>
  <si>
    <t>картридж</t>
  </si>
  <si>
    <t>Датчик давления воды</t>
  </si>
  <si>
    <t>Болт шестигранный</t>
  </si>
  <si>
    <t>шланг поливочный,хомут</t>
  </si>
  <si>
    <t>гидропломба</t>
  </si>
  <si>
    <t>прокладка паронитовая</t>
  </si>
  <si>
    <t>подводка</t>
  </si>
  <si>
    <t>пена монтажная</t>
  </si>
  <si>
    <t>Муфта разъемная</t>
  </si>
  <si>
    <t>Кран шаровой</t>
  </si>
  <si>
    <t>Фильтр</t>
  </si>
  <si>
    <t>Картридж угольный</t>
  </si>
  <si>
    <t>Разъемное соединение</t>
  </si>
  <si>
    <t>Труба армир</t>
  </si>
  <si>
    <t>Тройник</t>
  </si>
  <si>
    <t>Угол</t>
  </si>
  <si>
    <t>Герметик</t>
  </si>
  <si>
    <t>Энергофлекс</t>
  </si>
  <si>
    <t>Содержание сетей канализации</t>
  </si>
  <si>
    <t>илосос</t>
  </si>
  <si>
    <t xml:space="preserve">  </t>
  </si>
  <si>
    <t>кран-шар</t>
  </si>
  <si>
    <t>устранение засора</t>
  </si>
  <si>
    <t>машина д/прочистки труб</t>
  </si>
  <si>
    <t>юр.усл. Оформление земли ОС</t>
  </si>
  <si>
    <t>пена монт., электроды, диск отр.</t>
  </si>
  <si>
    <t>диски отр.</t>
  </si>
  <si>
    <t>пескобетон</t>
  </si>
  <si>
    <t>Компенсация С2</t>
  </si>
  <si>
    <t>откачка МТК</t>
  </si>
  <si>
    <t>С2 иссл. Сточных вод</t>
  </si>
  <si>
    <t>С2 гидролог.иссл. Водоема</t>
  </si>
  <si>
    <t>заглушка</t>
  </si>
  <si>
    <t>кран, муфта, угол, картридж, труба</t>
  </si>
  <si>
    <t>телеинспекция канализации</t>
  </si>
  <si>
    <t>пакет большой</t>
  </si>
  <si>
    <t>Гидропломба</t>
  </si>
  <si>
    <t>Разъем для камеры</t>
  </si>
  <si>
    <t>штуцер</t>
  </si>
  <si>
    <t>тройник</t>
  </si>
  <si>
    <t>труба</t>
  </si>
  <si>
    <t>шланг</t>
  </si>
  <si>
    <t>масло для компрессора</t>
  </si>
  <si>
    <t>переходник</t>
  </si>
  <si>
    <t>осушитель</t>
  </si>
  <si>
    <t>Подводка для воды</t>
  </si>
  <si>
    <t>Комплект арматуры для бачка</t>
  </si>
  <si>
    <t>Прокладка ПВХ</t>
  </si>
  <si>
    <t>Уплотнительное кольцо</t>
  </si>
  <si>
    <t>Набор прокладок</t>
  </si>
  <si>
    <t>Прокладка силиконовая</t>
  </si>
  <si>
    <t>Электроэнергия на общие нужды</t>
  </si>
  <si>
    <t>эл.магн. Клапан</t>
  </si>
  <si>
    <t>светильник, лампы</t>
  </si>
  <si>
    <t>сверильник</t>
  </si>
  <si>
    <t>терморегулятор</t>
  </si>
  <si>
    <t>лампы</t>
  </si>
  <si>
    <t>светильник уличный</t>
  </si>
  <si>
    <t>автомат,Ю розетка, гофра</t>
  </si>
  <si>
    <t>счетчик</t>
  </si>
  <si>
    <t>евровилка</t>
  </si>
  <si>
    <t>термоусад. Клей</t>
  </si>
  <si>
    <t>поплавковый выкл. Для насоса</t>
  </si>
  <si>
    <t>Клемник</t>
  </si>
  <si>
    <t>лампа светод.</t>
  </si>
  <si>
    <t>бита,замок</t>
  </si>
  <si>
    <t>Прожекторы светодиодные</t>
  </si>
  <si>
    <t>Приемопередатчик для видеокамер</t>
  </si>
  <si>
    <t>Содержание спецавтотранспорта</t>
  </si>
  <si>
    <t>ДТ</t>
  </si>
  <si>
    <t>бензин А-92</t>
  </si>
  <si>
    <t>бензин А-95</t>
  </si>
  <si>
    <t>смазка, щетка для снега</t>
  </si>
  <si>
    <t>з/части</t>
  </si>
  <si>
    <t>Госпошлина ТО тракторная техника</t>
  </si>
  <si>
    <t>ТО Ларгус + запчасти</t>
  </si>
  <si>
    <t>дистилированная вода</t>
  </si>
  <si>
    <t>огнетушитель</t>
  </si>
  <si>
    <t>фонарь задний, стеклоочиститель</t>
  </si>
  <si>
    <t>трос д/снегоуборочника</t>
  </si>
  <si>
    <t>ОСАГО трактор</t>
  </si>
  <si>
    <t>трансп. Налог</t>
  </si>
  <si>
    <t>швеллер</t>
  </si>
  <si>
    <t>болты, гайки</t>
  </si>
  <si>
    <t>ТО Трактор</t>
  </si>
  <si>
    <t>Аренда экскаватора</t>
  </si>
  <si>
    <t>подшипник</t>
  </si>
  <si>
    <t>клеммы</t>
  </si>
  <si>
    <t>Солидолонагнетатель</t>
  </si>
  <si>
    <t>Манометр</t>
  </si>
  <si>
    <t>фильтр топливный</t>
  </si>
  <si>
    <t>упоры противооткатные</t>
  </si>
  <si>
    <t>масло</t>
  </si>
  <si>
    <t>мойка трактора</t>
  </si>
  <si>
    <t>кольцо проставочное</t>
  </si>
  <si>
    <t>щетка дорожная</t>
  </si>
  <si>
    <t>Свеча зажигания</t>
  </si>
  <si>
    <t xml:space="preserve">фильтр </t>
  </si>
  <si>
    <t>Пулька для триммера</t>
  </si>
  <si>
    <t>Шланг высокого давления</t>
  </si>
  <si>
    <t>Провод для ЗИЛ</t>
  </si>
  <si>
    <t>Насос топливн</t>
  </si>
  <si>
    <t>Аренда манипулятора</t>
  </si>
  <si>
    <t xml:space="preserve">Благоустройство территории </t>
  </si>
  <si>
    <t>песок, щебень</t>
  </si>
  <si>
    <t>мешки для мусора</t>
  </si>
  <si>
    <t>пленка, газ.баллон, горелка</t>
  </si>
  <si>
    <t>ель живая</t>
  </si>
  <si>
    <t>Дерен</t>
  </si>
  <si>
    <t>Грабли</t>
  </si>
  <si>
    <t>Лопата</t>
  </si>
  <si>
    <t>Тачка</t>
  </si>
  <si>
    <t>Сучкорез</t>
  </si>
  <si>
    <t>Мешки для мусора</t>
  </si>
  <si>
    <t>Газонная трава</t>
  </si>
  <si>
    <t>Урна для собак</t>
  </si>
  <si>
    <t>Чернозем</t>
  </si>
  <si>
    <t>Сетка сварная</t>
  </si>
  <si>
    <t>Конструкций ПВХ</t>
  </si>
  <si>
    <t>Труба и сетка</t>
  </si>
  <si>
    <t>Битум</t>
  </si>
  <si>
    <t>Семена газон быстрый</t>
  </si>
  <si>
    <t>Масло для компрессора</t>
  </si>
  <si>
    <t>Респиратор с клапаном</t>
  </si>
  <si>
    <t>Растворитель</t>
  </si>
  <si>
    <t>Сетка заборная</t>
  </si>
  <si>
    <t>Люк канализационный</t>
  </si>
  <si>
    <t>Резервный фонд</t>
  </si>
  <si>
    <t>экологическая отчетность</t>
  </si>
  <si>
    <t>Изготовление лестницы</t>
  </si>
  <si>
    <t>Экспертиза лестницы</t>
  </si>
  <si>
    <t>Арбитражный суд</t>
  </si>
  <si>
    <t xml:space="preserve">Конструкция из ПВХ с компл. </t>
  </si>
  <si>
    <t>Машина для прочистки труб</t>
  </si>
  <si>
    <t>Илосос</t>
  </si>
  <si>
    <t>Насос канализационный</t>
  </si>
  <si>
    <t>Ремонт ШРП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</si>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</sst>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\ _₽_-;\-* #\ ##0.00\ _₽_-;_-* &quot;-&quot;??\ _₽_-;_-@_-"/>
    <numFmt numFmtId="165" formatCode="_-* #\ ##0\ _₽_-;\-* #\ ##0\ _₽_-;_-* &quot;-&quot;??\ _₽_-;_-@_-"/>
    <numFmt numFmtId="166" formatCode="#\ ##0"/>
  </numFmts>
  <fonts count="44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sz val="10"/>
      <name val="Arial Cyr"/>
      <charset val="134"/>
    </font>
    <font>
      <sz val="10"/>
      <name val="Arial Cyr"/>
      <charset val="134"/>
    </font>
    <font>
      <sz val="10"/>
      <name val="Arial"/>
      <charset val="204"/>
    </font>
    <font>
      <b/>
      <sz val="10"/>
      <name val="Arial Cyr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134"/>
    </font>
    <font>
      <b/>
      <sz val="10"/>
      <name val="Arial"/>
      <charset val="204"/>
    </font>
    <font>
      <sz val="10"/>
      <color theme="1"/>
      <name val="Arial"/>
      <charset val="204"/>
    </font>
    <font>
      <b/>
      <sz val="12"/>
      <name val="Calibri"/>
      <charset val="204"/>
    </font>
    <font>
      <sz val="12"/>
      <name val="Calibri"/>
      <charset val="204"/>
    </font>
    <font>
      <b/>
      <sz val="14"/>
      <name val="Calibri"/>
      <charset val="204"/>
    </font>
    <font>
      <sz val="10"/>
      <color indexed="2"/>
      <name val="Arial Cyr"/>
      <charset val="134"/>
    </font>
    <font>
      <b/>
      <sz val="11"/>
      <name val="Calibri"/>
      <charset val="204"/>
    </font>
    <font>
      <b/>
      <i/>
      <sz val="12"/>
      <name val="Calibri"/>
      <charset val="204"/>
    </font>
    <font>
      <b/>
      <i/>
      <sz val="11"/>
      <name val="Calibri"/>
      <charset val="204"/>
    </font>
    <font>
      <sz val="11"/>
      <name val="Calibri"/>
      <charset val="204"/>
    </font>
    <font>
      <i/>
      <sz val="11"/>
      <name val="Calibri"/>
      <charset val="204"/>
    </font>
    <font>
      <b/>
      <i/>
      <sz val="11"/>
      <color indexed="17"/>
      <name val="Calibri"/>
      <charset val="204"/>
    </font>
    <font>
      <sz val="11"/>
      <color theme="1"/>
      <name val="Calibri"/>
      <charset val="204"/>
    </font>
    <font>
      <sz val="12"/>
      <color indexed="55"/>
      <name val="Calibri"/>
      <charset val="204"/>
    </font>
    <font>
      <sz val="12"/>
      <color theme="1"/>
      <name val="Calibri"/>
      <charset val="204"/>
    </font>
    <font>
      <sz val="11"/>
      <color indexed="55"/>
      <name val="Calibri"/>
      <charset val="204"/>
    </font>
    <font>
      <b/>
      <i/>
      <u/>
      <sz val="18"/>
      <name val="Calibri"/>
      <charset val="204"/>
    </font>
    <font>
      <b/>
      <sz val="12"/>
      <color rgb="FFCC0099"/>
      <name val="Calibri"/>
      <charset val="204"/>
    </font>
    <font>
      <b/>
      <i/>
      <sz val="14"/>
      <name val="Calibri"/>
      <charset val="204"/>
    </font>
    <font>
      <sz val="11"/>
      <color theme="0" tint="-0.249977111117893"/>
      <name val="Calibri"/>
      <charset val="204"/>
    </font>
    <font>
      <sz val="10"/>
      <name val="Calibri"/>
      <charset val="204"/>
    </font>
    <font>
      <sz val="12"/>
      <color theme="0" tint="-0.249977111117893"/>
      <name val="Calibri"/>
      <charset val="204"/>
    </font>
    <font>
      <b/>
      <sz val="12"/>
      <color theme="0" tint="-0.499984740745262"/>
      <name val="Calibri"/>
      <charset val="204"/>
    </font>
    <font>
      <b/>
      <u/>
      <sz val="12"/>
      <name val="Calibri"/>
      <charset val="204"/>
    </font>
    <font>
      <b/>
      <u val="singleAccounting"/>
      <sz val="12"/>
      <name val="Calibri"/>
      <charset val="204"/>
    </font>
    <font>
      <sz val="12"/>
      <color rgb="FFFF0000"/>
      <name val="Calibri"/>
      <charset val="204"/>
    </font>
    <font>
      <i/>
      <sz val="12"/>
      <name val="Calibri"/>
      <charset val="204"/>
    </font>
    <font>
      <b/>
      <sz val="12"/>
      <color rgb="FFFF0000"/>
      <name val="Calibri"/>
      <charset val="204"/>
    </font>
    <font>
      <sz val="11"/>
      <color rgb="FFFF0000"/>
      <name val="Calibri"/>
      <charset val="204"/>
    </font>
    <font>
      <b/>
      <sz val="14"/>
      <name val="Arial"/>
      <charset val="204"/>
    </font>
    <font>
      <b/>
      <sz val="11"/>
      <name val="Arial"/>
      <charset val="204"/>
    </font>
    <font>
      <b/>
      <sz val="12"/>
      <name val="Arial"/>
      <charset val="204"/>
    </font>
    <font>
      <b/>
      <i/>
      <sz val="10"/>
      <name val="Arial"/>
      <charset val="204"/>
    </font>
    <font>
      <sz val="11"/>
      <name val="Arial"/>
      <charset val="204"/>
    </font>
    <font>
      <b/>
      <i/>
      <sz val="10"/>
      <name val="Calibri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6"/>
        <bgColor indexed="4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"/>
        <bgColor indexed="3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theme="9" tint="0.79995117038483843"/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29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8" fillId="0" borderId="0" applyFont="0" applyFill="0" applyBorder="0" applyProtection="0"/>
    <xf numFmtId="0" fontId="3" fillId="0" borderId="0"/>
  </cellStyleXfs>
  <cellXfs count="434">
    <xf numFmtId="0" fontId="0" fillId="0" borderId="0" xfId="0"/>
    <xf numFmtId="0" fontId="1" fillId="0" borderId="0" xfId="0" applyFont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3" fillId="0" borderId="1" xfId="2" applyBorder="1"/>
    <xf numFmtId="0" fontId="3" fillId="0" borderId="0" xfId="2"/>
    <xf numFmtId="0" fontId="3" fillId="0" borderId="2" xfId="2" applyBorder="1"/>
    <xf numFmtId="0" fontId="3" fillId="0" borderId="3" xfId="2" applyBorder="1"/>
    <xf numFmtId="0" fontId="3" fillId="0" borderId="4" xfId="2" applyBorder="1" applyAlignment="1">
      <alignment wrapText="1"/>
    </xf>
    <xf numFmtId="165" fontId="3" fillId="0" borderId="4" xfId="1" applyNumberFormat="1" applyFont="1" applyBorder="1"/>
    <xf numFmtId="0" fontId="4" fillId="0" borderId="5" xfId="2" applyFont="1" applyBorder="1"/>
    <xf numFmtId="165" fontId="4" fillId="0" borderId="4" xfId="1" applyNumberFormat="1" applyFont="1" applyBorder="1"/>
    <xf numFmtId="0" fontId="3" fillId="0" borderId="5" xfId="2" applyBorder="1"/>
    <xf numFmtId="0" fontId="3" fillId="0" borderId="4" xfId="2" applyBorder="1"/>
    <xf numFmtId="2" fontId="3" fillId="0" borderId="4" xfId="2" applyNumberFormat="1" applyBorder="1"/>
    <xf numFmtId="0" fontId="5" fillId="0" borderId="4" xfId="2" applyFont="1" applyBorder="1"/>
    <xf numFmtId="0" fontId="3" fillId="0" borderId="4" xfId="2" applyBorder="1" applyAlignment="1">
      <alignment horizontal="left" wrapText="1"/>
    </xf>
    <xf numFmtId="0" fontId="3" fillId="0" borderId="4" xfId="2" applyBorder="1" applyAlignment="1">
      <alignment horizontal="left"/>
    </xf>
    <xf numFmtId="2" fontId="3" fillId="0" borderId="4" xfId="2" applyNumberFormat="1" applyBorder="1" applyAlignment="1">
      <alignment wrapText="1"/>
    </xf>
    <xf numFmtId="0" fontId="6" fillId="0" borderId="4" xfId="0" applyFont="1" applyBorder="1"/>
    <xf numFmtId="165" fontId="0" fillId="0" borderId="4" xfId="1" applyNumberFormat="1" applyFont="1" applyBorder="1"/>
    <xf numFmtId="166" fontId="2" fillId="2" borderId="6" xfId="2" applyNumberFormat="1" applyFont="1" applyFill="1" applyBorder="1"/>
    <xf numFmtId="165" fontId="3" fillId="0" borderId="6" xfId="1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Font="1"/>
    <xf numFmtId="0" fontId="2" fillId="0" borderId="1" xfId="2" applyFont="1" applyBorder="1" applyAlignment="1">
      <alignment wrapText="1"/>
    </xf>
    <xf numFmtId="0" fontId="3" fillId="0" borderId="1" xfId="2" applyBorder="1" applyAlignment="1">
      <alignment horizontal="center"/>
    </xf>
    <xf numFmtId="0" fontId="3" fillId="0" borderId="0" xfId="2" applyAlignment="1">
      <alignment wrapText="1"/>
    </xf>
    <xf numFmtId="0" fontId="3" fillId="0" borderId="4" xfId="2" applyBorder="1" applyAlignment="1">
      <alignment horizontal="center"/>
    </xf>
    <xf numFmtId="0" fontId="3" fillId="0" borderId="3" xfId="2" applyBorder="1" applyAlignment="1">
      <alignment horizontal="center"/>
    </xf>
    <xf numFmtId="165" fontId="2" fillId="2" borderId="6" xfId="1" applyNumberFormat="1" applyFont="1" applyFill="1" applyBorder="1"/>
    <xf numFmtId="164" fontId="3" fillId="0" borderId="0" xfId="1" applyFont="1"/>
    <xf numFmtId="164" fontId="3" fillId="0" borderId="3" xfId="1" applyFont="1" applyBorder="1"/>
    <xf numFmtId="165" fontId="3" fillId="0" borderId="6" xfId="1" applyNumberFormat="1" applyFont="1" applyBorder="1"/>
    <xf numFmtId="165" fontId="3" fillId="0" borderId="7" xfId="1" applyNumberFormat="1" applyFont="1" applyBorder="1"/>
    <xf numFmtId="0" fontId="3" fillId="0" borderId="8" xfId="2" applyBorder="1" applyAlignment="1">
      <alignment horizontal="center"/>
    </xf>
    <xf numFmtId="0" fontId="3" fillId="0" borderId="5" xfId="2" applyBorder="1" applyAlignment="1">
      <alignment wrapText="1"/>
    </xf>
    <xf numFmtId="165" fontId="3" fillId="0" borderId="4" xfId="1" applyNumberFormat="1" applyFont="1" applyFill="1" applyBorder="1"/>
    <xf numFmtId="0" fontId="3" fillId="0" borderId="1" xfId="2" applyBorder="1" applyAlignment="1">
      <alignment wrapText="1"/>
    </xf>
    <xf numFmtId="165" fontId="3" fillId="0" borderId="6" xfId="1" applyNumberFormat="1" applyFont="1" applyFill="1" applyBorder="1"/>
    <xf numFmtId="165" fontId="3" fillId="0" borderId="7" xfId="1" applyNumberFormat="1" applyFont="1" applyFill="1" applyBorder="1"/>
    <xf numFmtId="0" fontId="3" fillId="0" borderId="5" xfId="2" applyFont="1" applyBorder="1"/>
    <xf numFmtId="166" fontId="2" fillId="2" borderId="6" xfId="2" applyNumberFormat="1" applyFont="1" applyFill="1" applyBorder="1" applyAlignment="1">
      <alignment horizontal="center"/>
    </xf>
    <xf numFmtId="165" fontId="2" fillId="2" borderId="7" xfId="2" applyNumberFormat="1" applyFont="1" applyFill="1" applyBorder="1"/>
    <xf numFmtId="165" fontId="0" fillId="0" borderId="0" xfId="1" applyNumberFormat="1" applyFont="1"/>
    <xf numFmtId="0" fontId="3" fillId="0" borderId="8" xfId="2" applyBorder="1"/>
    <xf numFmtId="0" fontId="7" fillId="3" borderId="4" xfId="2" applyFont="1" applyFill="1" applyBorder="1"/>
    <xf numFmtId="164" fontId="3" fillId="4" borderId="4" xfId="1" applyFont="1" applyFill="1" applyBorder="1"/>
    <xf numFmtId="164" fontId="3" fillId="0" borderId="4" xfId="1" applyFont="1" applyBorder="1"/>
    <xf numFmtId="0" fontId="3" fillId="0" borderId="1" xfId="2" applyFont="1" applyFill="1" applyBorder="1"/>
    <xf numFmtId="0" fontId="8" fillId="0" borderId="1" xfId="2" applyFont="1" applyBorder="1"/>
    <xf numFmtId="0" fontId="3" fillId="0" borderId="1" xfId="2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4" fontId="3" fillId="0" borderId="6" xfId="1" applyFont="1" applyBorder="1"/>
    <xf numFmtId="0" fontId="1" fillId="0" borderId="0" xfId="0" applyFont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0" xfId="2" applyFont="1"/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wrapText="1"/>
    </xf>
    <xf numFmtId="165" fontId="1" fillId="0" borderId="4" xfId="1" applyNumberFormat="1" applyFont="1" applyBorder="1"/>
    <xf numFmtId="165" fontId="10" fillId="0" borderId="4" xfId="1" applyNumberFormat="1" applyFont="1" applyBorder="1"/>
    <xf numFmtId="0" fontId="4" fillId="5" borderId="5" xfId="2" applyFont="1" applyFill="1" applyBorder="1"/>
    <xf numFmtId="165" fontId="4" fillId="5" borderId="4" xfId="1" applyNumberFormat="1" applyFont="1" applyFill="1" applyBorder="1"/>
    <xf numFmtId="166" fontId="9" fillId="2" borderId="6" xfId="2" applyNumberFormat="1" applyFont="1" applyFill="1" applyBorder="1"/>
    <xf numFmtId="166" fontId="1" fillId="0" borderId="0" xfId="0" applyNumberFormat="1" applyFont="1" applyAlignment="1">
      <alignment horizontal="center"/>
    </xf>
    <xf numFmtId="0" fontId="3" fillId="5" borderId="4" xfId="2" applyFill="1" applyBorder="1" applyAlignment="1">
      <alignment horizontal="left"/>
    </xf>
    <xf numFmtId="165" fontId="3" fillId="5" borderId="8" xfId="1" applyNumberFormat="1" applyFont="1" applyFill="1" applyBorder="1"/>
    <xf numFmtId="165" fontId="3" fillId="0" borderId="8" xfId="1" applyNumberFormat="1" applyFont="1" applyBorder="1"/>
    <xf numFmtId="165" fontId="3" fillId="0" borderId="9" xfId="1" applyNumberFormat="1" applyFont="1" applyBorder="1"/>
    <xf numFmtId="0" fontId="3" fillId="0" borderId="8" xfId="2" applyBorder="1" applyAlignment="1">
      <alignment wrapText="1"/>
    </xf>
    <xf numFmtId="165" fontId="3" fillId="5" borderId="3" xfId="1" applyNumberFormat="1" applyFont="1" applyFill="1" applyBorder="1"/>
    <xf numFmtId="0" fontId="3" fillId="0" borderId="0" xfId="2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0" xfId="2" applyAlignment="1">
      <alignment horizontal="center"/>
    </xf>
    <xf numFmtId="0" fontId="3" fillId="0" borderId="5" xfId="2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5" xfId="2" applyBorder="1" applyAlignment="1">
      <alignment horizontal="left" vertical="center" wrapText="1"/>
    </xf>
    <xf numFmtId="164" fontId="3" fillId="0" borderId="7" xfId="1" applyFont="1" applyBorder="1"/>
    <xf numFmtId="164" fontId="3" fillId="0" borderId="9" xfId="1" applyFont="1" applyBorder="1"/>
    <xf numFmtId="164" fontId="2" fillId="2" borderId="6" xfId="1" applyFont="1" applyFill="1" applyBorder="1"/>
    <xf numFmtId="0" fontId="13" fillId="0" borderId="0" xfId="0" applyFont="1" applyAlignment="1">
      <alignment wrapText="1"/>
    </xf>
    <xf numFmtId="0" fontId="2" fillId="0" borderId="3" xfId="2" applyFont="1" applyBorder="1" applyAlignment="1">
      <alignment horizontal="center"/>
    </xf>
    <xf numFmtId="164" fontId="2" fillId="0" borderId="6" xfId="1" applyFont="1" applyBorder="1"/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/>
    </xf>
    <xf numFmtId="0" fontId="2" fillId="0" borderId="4" xfId="2" applyFont="1" applyBorder="1" applyAlignment="1">
      <alignment horizontal="left"/>
    </xf>
    <xf numFmtId="166" fontId="2" fillId="2" borderId="4" xfId="2" applyNumberFormat="1" applyFont="1" applyFill="1" applyBorder="1" applyAlignment="1">
      <alignment horizontal="center"/>
    </xf>
    <xf numFmtId="164" fontId="2" fillId="2" borderId="4" xfId="1" applyFont="1" applyFill="1" applyBorder="1"/>
    <xf numFmtId="0" fontId="3" fillId="0" borderId="4" xfId="2" applyBorder="1" applyAlignment="1">
      <alignment vertical="center"/>
    </xf>
    <xf numFmtId="0" fontId="2" fillId="0" borderId="4" xfId="2" applyFont="1" applyBorder="1"/>
    <xf numFmtId="165" fontId="14" fillId="0" borderId="4" xfId="1" applyNumberFormat="1" applyFont="1" applyBorder="1"/>
    <xf numFmtId="165" fontId="0" fillId="0" borderId="0" xfId="1" applyNumberFormat="1" applyFont="1" applyAlignment="1">
      <alignment horizontal="center"/>
    </xf>
    <xf numFmtId="165" fontId="2" fillId="0" borderId="1" xfId="1" applyNumberFormat="1" applyFont="1" applyBorder="1"/>
    <xf numFmtId="165" fontId="3" fillId="0" borderId="1" xfId="1" applyNumberFormat="1" applyFont="1" applyBorder="1"/>
    <xf numFmtId="0" fontId="3" fillId="6" borderId="5" xfId="2" applyFill="1" applyBorder="1" applyAlignment="1">
      <alignment wrapText="1"/>
    </xf>
    <xf numFmtId="165" fontId="3" fillId="7" borderId="4" xfId="1" applyNumberFormat="1" applyFont="1" applyFill="1" applyBorder="1"/>
    <xf numFmtId="165" fontId="3" fillId="7" borderId="9" xfId="1" applyNumberFormat="1" applyFont="1" applyFill="1" applyBorder="1"/>
    <xf numFmtId="165" fontId="3" fillId="7" borderId="6" xfId="1" applyNumberFormat="1" applyFont="1" applyFill="1" applyBorder="1"/>
    <xf numFmtId="165" fontId="3" fillId="7" borderId="7" xfId="1" applyNumberFormat="1" applyFont="1" applyFill="1" applyBorder="1"/>
    <xf numFmtId="2" fontId="3" fillId="0" borderId="1" xfId="2" applyNumberFormat="1" applyBorder="1" applyAlignment="1">
      <alignment wrapText="1"/>
    </xf>
    <xf numFmtId="2" fontId="3" fillId="8" borderId="5" xfId="2" applyNumberFormat="1" applyFill="1" applyBorder="1" applyAlignment="1">
      <alignment wrapText="1"/>
    </xf>
    <xf numFmtId="2" fontId="3" fillId="0" borderId="5" xfId="2" applyNumberFormat="1" applyBorder="1" applyAlignment="1">
      <alignment wrapText="1"/>
    </xf>
    <xf numFmtId="2" fontId="3" fillId="9" borderId="5" xfId="2" applyNumberFormat="1" applyFill="1" applyBorder="1" applyAlignment="1">
      <alignment wrapText="1"/>
    </xf>
    <xf numFmtId="2" fontId="3" fillId="10" borderId="5" xfId="2" applyNumberFormat="1" applyFill="1" applyBorder="1" applyAlignment="1">
      <alignment wrapText="1"/>
    </xf>
    <xf numFmtId="2" fontId="3" fillId="11" borderId="5" xfId="2" applyNumberForma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3" fillId="0" borderId="10" xfId="2" applyBorder="1" applyAlignment="1">
      <alignment wrapText="1"/>
    </xf>
    <xf numFmtId="0" fontId="0" fillId="0" borderId="10" xfId="0" applyBorder="1" applyAlignment="1">
      <alignment wrapText="1"/>
    </xf>
    <xf numFmtId="165" fontId="3" fillId="0" borderId="0" xfId="1" applyNumberFormat="1" applyFont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65" fontId="0" fillId="0" borderId="6" xfId="1" applyNumberFormat="1" applyFont="1" applyBorder="1"/>
    <xf numFmtId="165" fontId="2" fillId="2" borderId="6" xfId="1" applyNumberFormat="1" applyFont="1" applyFill="1" applyBorder="1" applyAlignment="1">
      <alignment horizontal="center"/>
    </xf>
    <xf numFmtId="0" fontId="15" fillId="0" borderId="11" xfId="0" applyFont="1" applyBorder="1"/>
    <xf numFmtId="0" fontId="15" fillId="0" borderId="5" xfId="0" applyFont="1" applyBorder="1"/>
    <xf numFmtId="0" fontId="0" fillId="0" borderId="11" xfId="0" applyBorder="1"/>
    <xf numFmtId="0" fontId="16" fillId="0" borderId="11" xfId="0" applyFont="1" applyBorder="1"/>
    <xf numFmtId="0" fontId="15" fillId="0" borderId="2" xfId="0" applyFont="1" applyBorder="1"/>
    <xf numFmtId="0" fontId="15" fillId="0" borderId="0" xfId="0" applyFont="1"/>
    <xf numFmtId="0" fontId="15" fillId="0" borderId="3" xfId="0" applyFont="1" applyBorder="1"/>
    <xf numFmtId="0" fontId="0" fillId="0" borderId="3" xfId="0" applyBorder="1"/>
    <xf numFmtId="0" fontId="0" fillId="0" borderId="12" xfId="0" applyBorder="1"/>
    <xf numFmtId="0" fontId="0" fillId="0" borderId="1" xfId="0" applyBorder="1"/>
    <xf numFmtId="0" fontId="15" fillId="0" borderId="6" xfId="0" applyFont="1" applyBorder="1"/>
    <xf numFmtId="0" fontId="17" fillId="0" borderId="6" xfId="0" applyFont="1" applyBorder="1" applyAlignment="1">
      <alignment horizontal="center"/>
    </xf>
    <xf numFmtId="0" fontId="0" fillId="0" borderId="10" xfId="0" applyBorder="1"/>
    <xf numFmtId="0" fontId="0" fillId="0" borderId="5" xfId="0" applyBorder="1"/>
    <xf numFmtId="166" fontId="15" fillId="12" borderId="4" xfId="0" applyNumberFormat="1" applyFont="1" applyFill="1" applyBorder="1"/>
    <xf numFmtId="166" fontId="0" fillId="12" borderId="4" xfId="0" applyNumberFormat="1" applyFill="1" applyBorder="1"/>
    <xf numFmtId="0" fontId="0" fillId="0" borderId="4" xfId="0" applyBorder="1"/>
    <xf numFmtId="166" fontId="0" fillId="0" borderId="4" xfId="0" applyNumberFormat="1" applyBorder="1"/>
    <xf numFmtId="0" fontId="11" fillId="0" borderId="5" xfId="0" applyFont="1" applyBorder="1"/>
    <xf numFmtId="166" fontId="11" fillId="0" borderId="4" xfId="0" applyNumberFormat="1" applyFont="1" applyBorder="1"/>
    <xf numFmtId="166" fontId="11" fillId="12" borderId="4" xfId="0" applyNumberFormat="1" applyFont="1" applyFill="1" applyBorder="1"/>
    <xf numFmtId="166" fontId="15" fillId="13" borderId="4" xfId="0" applyNumberFormat="1" applyFont="1" applyFill="1" applyBorder="1"/>
    <xf numFmtId="166" fontId="0" fillId="13" borderId="4" xfId="0" applyNumberFormat="1" applyFill="1" applyBorder="1"/>
    <xf numFmtId="166" fontId="15" fillId="13" borderId="6" xfId="0" applyNumberFormat="1" applyFont="1" applyFill="1" applyBorder="1"/>
    <xf numFmtId="166" fontId="0" fillId="13" borderId="6" xfId="0" applyNumberFormat="1" applyFill="1" applyBorder="1"/>
    <xf numFmtId="0" fontId="0" fillId="0" borderId="9" xfId="0" applyBorder="1"/>
    <xf numFmtId="0" fontId="0" fillId="0" borderId="7" xfId="0" applyBorder="1"/>
    <xf numFmtId="166" fontId="0" fillId="6" borderId="4" xfId="0" applyNumberFormat="1" applyFill="1" applyBorder="1"/>
    <xf numFmtId="0" fontId="15" fillId="0" borderId="10" xfId="0" applyFont="1" applyBorder="1"/>
    <xf numFmtId="166" fontId="11" fillId="13" borderId="4" xfId="0" applyNumberFormat="1" applyFont="1" applyFill="1" applyBorder="1"/>
    <xf numFmtId="0" fontId="0" fillId="0" borderId="6" xfId="0" applyBorder="1"/>
    <xf numFmtId="166" fontId="0" fillId="0" borderId="6" xfId="0" applyNumberFormat="1" applyBorder="1"/>
    <xf numFmtId="0" fontId="0" fillId="14" borderId="3" xfId="0" applyFill="1" applyBorder="1"/>
    <xf numFmtId="0" fontId="0" fillId="14" borderId="6" xfId="0" applyFill="1" applyBorder="1"/>
    <xf numFmtId="166" fontId="18" fillId="14" borderId="4" xfId="0" applyNumberFormat="1" applyFont="1" applyFill="1" applyBorder="1"/>
    <xf numFmtId="166" fontId="15" fillId="0" borderId="4" xfId="0" applyNumberFormat="1" applyFont="1" applyBorder="1"/>
    <xf numFmtId="166" fontId="15" fillId="0" borderId="0" xfId="0" applyNumberFormat="1" applyFont="1"/>
    <xf numFmtId="0" fontId="18" fillId="14" borderId="4" xfId="0" applyFont="1" applyFill="1" applyBorder="1"/>
    <xf numFmtId="0" fontId="15" fillId="14" borderId="5" xfId="0" applyFont="1" applyFill="1" applyBorder="1"/>
    <xf numFmtId="0" fontId="19" fillId="14" borderId="4" xfId="0" applyFont="1" applyFill="1" applyBorder="1"/>
    <xf numFmtId="166" fontId="15" fillId="14" borderId="4" xfId="0" applyNumberFormat="1" applyFont="1" applyFill="1" applyBorder="1"/>
    <xf numFmtId="166" fontId="20" fillId="14" borderId="4" xfId="0" applyNumberFormat="1" applyFont="1" applyFill="1" applyBorder="1"/>
    <xf numFmtId="166" fontId="18" fillId="14" borderId="6" xfId="0" applyNumberFormat="1" applyFont="1" applyFill="1" applyBorder="1"/>
    <xf numFmtId="166" fontId="20" fillId="14" borderId="6" xfId="0" applyNumberFormat="1" applyFont="1" applyFill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Fill="1"/>
    <xf numFmtId="165" fontId="12" fillId="0" borderId="0" xfId="1" applyNumberFormat="1" applyFont="1"/>
    <xf numFmtId="0" fontId="18" fillId="0" borderId="0" xfId="0" applyFont="1"/>
    <xf numFmtId="0" fontId="24" fillId="0" borderId="0" xfId="0" applyFont="1"/>
    <xf numFmtId="0" fontId="21" fillId="0" borderId="0" xfId="0" applyFont="1" applyAlignment="1">
      <alignment wrapText="1"/>
    </xf>
    <xf numFmtId="165" fontId="21" fillId="0" borderId="0" xfId="1" applyNumberFormat="1" applyFont="1" applyAlignment="1">
      <alignment horizontal="center"/>
    </xf>
    <xf numFmtId="165" fontId="21" fillId="0" borderId="0" xfId="1" applyNumberFormat="1" applyFont="1"/>
    <xf numFmtId="0" fontId="21" fillId="0" borderId="0" xfId="0" applyFont="1"/>
    <xf numFmtId="0" fontId="25" fillId="0" borderId="0" xfId="0" applyFont="1" applyAlignment="1">
      <alignment horizontal="right" wrapText="1"/>
    </xf>
    <xf numFmtId="165" fontId="25" fillId="0" borderId="0" xfId="1" applyNumberFormat="1" applyFont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7" fillId="13" borderId="2" xfId="0" applyFont="1" applyFill="1" applyBorder="1" applyAlignment="1">
      <alignment wrapText="1"/>
    </xf>
    <xf numFmtId="165" fontId="15" fillId="0" borderId="4" xfId="1" applyNumberFormat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165" fontId="11" fillId="15" borderId="6" xfId="1" applyNumberFormat="1" applyFont="1" applyFill="1" applyBorder="1" applyAlignment="1">
      <alignment horizontal="center"/>
    </xf>
    <xf numFmtId="165" fontId="21" fillId="0" borderId="6" xfId="1" applyNumberFormat="1" applyFont="1" applyBorder="1" applyAlignment="1">
      <alignment horizontal="center" vertical="center" wrapText="1"/>
    </xf>
    <xf numFmtId="165" fontId="28" fillId="0" borderId="6" xfId="1" applyNumberFormat="1" applyFont="1" applyBorder="1" applyAlignment="1">
      <alignment horizontal="center" vertical="center"/>
    </xf>
    <xf numFmtId="165" fontId="11" fillId="15" borderId="4" xfId="1" applyNumberFormat="1" applyFont="1" applyFill="1" applyBorder="1" applyAlignment="1">
      <alignment horizontal="center"/>
    </xf>
    <xf numFmtId="165" fontId="11" fillId="16" borderId="4" xfId="1" applyNumberFormat="1" applyFont="1" applyFill="1" applyBorder="1" applyAlignment="1">
      <alignment horizontal="center"/>
    </xf>
    <xf numFmtId="165" fontId="12" fillId="13" borderId="4" xfId="1" applyNumberFormat="1" applyFont="1" applyFill="1" applyBorder="1" applyAlignment="1">
      <alignment horizontal="center" vertical="center"/>
    </xf>
    <xf numFmtId="165" fontId="12" fillId="13" borderId="4" xfId="1" applyNumberFormat="1" applyFont="1" applyFill="1" applyBorder="1" applyAlignment="1">
      <alignment horizontal="center"/>
    </xf>
    <xf numFmtId="165" fontId="11" fillId="15" borderId="3" xfId="1" applyNumberFormat="1" applyFont="1" applyFill="1" applyBorder="1" applyAlignment="1">
      <alignment horizontal="center"/>
    </xf>
    <xf numFmtId="165" fontId="11" fillId="16" borderId="3" xfId="1" applyNumberFormat="1" applyFont="1" applyFill="1" applyBorder="1" applyAlignment="1">
      <alignment horizontal="center"/>
    </xf>
    <xf numFmtId="165" fontId="11" fillId="15" borderId="3" xfId="1" applyNumberFormat="1" applyFont="1" applyFill="1" applyBorder="1"/>
    <xf numFmtId="165" fontId="11" fillId="16" borderId="3" xfId="1" applyNumberFormat="1" applyFont="1" applyFill="1" applyBorder="1" applyAlignment="1">
      <alignment vertical="center"/>
    </xf>
    <xf numFmtId="0" fontId="12" fillId="0" borderId="4" xfId="0" applyFont="1" applyBorder="1" applyAlignment="1">
      <alignment wrapText="1"/>
    </xf>
    <xf numFmtId="165" fontId="11" fillId="15" borderId="4" xfId="1" applyNumberFormat="1" applyFont="1" applyFill="1" applyBorder="1" applyAlignment="1">
      <alignment horizontal="center" vertical="center"/>
    </xf>
    <xf numFmtId="165" fontId="11" fillId="16" borderId="4" xfId="1" applyNumberFormat="1" applyFont="1" applyFill="1" applyBorder="1" applyAlignment="1">
      <alignment vertical="center"/>
    </xf>
    <xf numFmtId="165" fontId="12" fillId="0" borderId="4" xfId="1" applyNumberFormat="1" applyFont="1" applyBorder="1" applyAlignment="1">
      <alignment horizontal="center" vertical="center"/>
    </xf>
    <xf numFmtId="165" fontId="21" fillId="0" borderId="4" xfId="1" applyNumberFormat="1" applyFont="1" applyBorder="1" applyAlignment="1">
      <alignment horizontal="center"/>
    </xf>
    <xf numFmtId="0" fontId="29" fillId="0" borderId="4" xfId="2" applyFont="1" applyBorder="1"/>
    <xf numFmtId="164" fontId="29" fillId="0" borderId="4" xfId="1" applyFont="1" applyBorder="1"/>
    <xf numFmtId="0" fontId="29" fillId="0" borderId="11" xfId="2" applyFont="1" applyBorder="1"/>
    <xf numFmtId="165" fontId="21" fillId="0" borderId="3" xfId="1" applyNumberFormat="1" applyFont="1" applyBorder="1" applyAlignment="1">
      <alignment horizontal="center"/>
    </xf>
    <xf numFmtId="164" fontId="29" fillId="0" borderId="6" xfId="1" applyFont="1" applyBorder="1"/>
    <xf numFmtId="0" fontId="29" fillId="5" borderId="13" xfId="2" applyFont="1" applyFill="1" applyBorder="1"/>
    <xf numFmtId="165" fontId="21" fillId="5" borderId="14" xfId="1" applyNumberFormat="1" applyFont="1" applyFill="1" applyBorder="1" applyAlignment="1">
      <alignment horizontal="center"/>
    </xf>
    <xf numFmtId="165" fontId="29" fillId="5" borderId="6" xfId="1" applyNumberFormat="1" applyFont="1" applyFill="1" applyBorder="1"/>
    <xf numFmtId="0" fontId="11" fillId="0" borderId="1" xfId="0" applyFont="1" applyBorder="1" applyAlignment="1">
      <alignment horizontal="left" wrapText="1"/>
    </xf>
    <xf numFmtId="165" fontId="11" fillId="16" borderId="6" xfId="1" applyNumberFormat="1" applyFont="1" applyFill="1" applyBorder="1" applyAlignment="1">
      <alignment horizontal="center"/>
    </xf>
    <xf numFmtId="165" fontId="11" fillId="13" borderId="15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30" fillId="0" borderId="0" xfId="1" applyNumberFormat="1" applyFont="1" applyAlignment="1">
      <alignment horizontal="center"/>
    </xf>
    <xf numFmtId="0" fontId="27" fillId="17" borderId="4" xfId="0" applyFont="1" applyFill="1" applyBorder="1" applyAlignment="1">
      <alignment wrapText="1"/>
    </xf>
    <xf numFmtId="165" fontId="11" fillId="0" borderId="5" xfId="1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31" fillId="0" borderId="1" xfId="1" applyNumberFormat="1" applyFont="1" applyBorder="1" applyAlignment="1">
      <alignment horizontal="center" vertical="center"/>
    </xf>
    <xf numFmtId="0" fontId="21" fillId="0" borderId="10" xfId="0" applyFont="1" applyBorder="1" applyAlignment="1">
      <alignment wrapText="1"/>
    </xf>
    <xf numFmtId="165" fontId="12" fillId="18" borderId="4" xfId="1" applyNumberFormat="1" applyFont="1" applyFill="1" applyBorder="1" applyAlignment="1">
      <alignment horizontal="center"/>
    </xf>
    <xf numFmtId="0" fontId="21" fillId="0" borderId="12" xfId="0" applyFont="1" applyBorder="1" applyAlignment="1">
      <alignment wrapText="1"/>
    </xf>
    <xf numFmtId="165" fontId="12" fillId="18" borderId="6" xfId="1" applyNumberFormat="1" applyFont="1" applyFill="1" applyBorder="1" applyAlignment="1">
      <alignment horizontal="center"/>
    </xf>
    <xf numFmtId="165" fontId="12" fillId="17" borderId="4" xfId="1" applyNumberFormat="1" applyFont="1" applyFill="1" applyBorder="1" applyAlignment="1">
      <alignment horizontal="center"/>
    </xf>
    <xf numFmtId="165" fontId="12" fillId="17" borderId="3" xfId="1" applyNumberFormat="1" applyFont="1" applyFill="1" applyBorder="1" applyAlignment="1">
      <alignment horizontal="center"/>
    </xf>
    <xf numFmtId="0" fontId="21" fillId="0" borderId="2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165" fontId="11" fillId="15" borderId="14" xfId="1" applyNumberFormat="1" applyFont="1" applyFill="1" applyBorder="1" applyAlignment="1">
      <alignment horizontal="center"/>
    </xf>
    <xf numFmtId="165" fontId="11" fillId="16" borderId="14" xfId="1" applyNumberFormat="1" applyFont="1" applyFill="1" applyBorder="1" applyAlignment="1">
      <alignment horizontal="center"/>
    </xf>
    <xf numFmtId="165" fontId="12" fillId="18" borderId="14" xfId="1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wrapText="1"/>
    </xf>
    <xf numFmtId="165" fontId="11" fillId="4" borderId="6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165" fontId="11" fillId="0" borderId="0" xfId="1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165" fontId="12" fillId="17" borderId="6" xfId="1" applyNumberFormat="1" applyFont="1" applyFill="1" applyBorder="1" applyAlignment="1">
      <alignment horizontal="center"/>
    </xf>
    <xf numFmtId="165" fontId="12" fillId="17" borderId="14" xfId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wrapText="1"/>
    </xf>
    <xf numFmtId="0" fontId="11" fillId="0" borderId="4" xfId="0" applyFont="1" applyBorder="1" applyAlignment="1">
      <alignment wrapText="1"/>
    </xf>
    <xf numFmtId="165" fontId="11" fillId="0" borderId="0" xfId="1" applyNumberFormat="1" applyFont="1" applyFill="1" applyBorder="1" applyAlignment="1">
      <alignment horizontal="center"/>
    </xf>
    <xf numFmtId="0" fontId="32" fillId="0" borderId="0" xfId="2" applyFont="1" applyAlignment="1">
      <alignment vertical="center"/>
    </xf>
    <xf numFmtId="165" fontId="21" fillId="0" borderId="0" xfId="1" applyNumberFormat="1" applyFont="1" applyBorder="1" applyAlignment="1">
      <alignment horizontal="center" vertical="center"/>
    </xf>
    <xf numFmtId="165" fontId="33" fillId="0" borderId="0" xfId="1" applyNumberFormat="1" applyFont="1" applyBorder="1" applyAlignment="1">
      <alignment vertical="center"/>
    </xf>
    <xf numFmtId="0" fontId="12" fillId="8" borderId="0" xfId="0" applyFont="1" applyFill="1" applyAlignment="1">
      <alignment wrapText="1"/>
    </xf>
    <xf numFmtId="165" fontId="12" fillId="8" borderId="0" xfId="1" applyNumberFormat="1" applyFont="1" applyFill="1"/>
    <xf numFmtId="0" fontId="29" fillId="0" borderId="0" xfId="2" applyFont="1"/>
    <xf numFmtId="165" fontId="21" fillId="0" borderId="0" xfId="1" applyNumberFormat="1" applyFont="1" applyBorder="1" applyAlignment="1">
      <alignment horizontal="center"/>
    </xf>
    <xf numFmtId="164" fontId="29" fillId="0" borderId="0" xfId="1" applyFont="1" applyBorder="1"/>
    <xf numFmtId="0" fontId="23" fillId="0" borderId="0" xfId="0" applyFont="1" applyAlignment="1">
      <alignment wrapText="1"/>
    </xf>
    <xf numFmtId="165" fontId="23" fillId="4" borderId="0" xfId="1" applyNumberFormat="1" applyFont="1" applyFill="1" applyAlignment="1">
      <alignment horizontal="center"/>
    </xf>
    <xf numFmtId="165" fontId="23" fillId="4" borderId="0" xfId="1" applyNumberFormat="1" applyFont="1" applyFill="1"/>
    <xf numFmtId="165" fontId="12" fillId="4" borderId="0" xfId="1" applyNumberFormat="1" applyFont="1" applyFill="1"/>
    <xf numFmtId="0" fontId="23" fillId="0" borderId="0" xfId="0" applyFont="1" applyFill="1" applyAlignment="1">
      <alignment wrapText="1"/>
    </xf>
    <xf numFmtId="165" fontId="23" fillId="0" borderId="0" xfId="1" applyNumberFormat="1" applyFont="1" applyFill="1" applyAlignment="1">
      <alignment horizontal="center" vertical="center"/>
    </xf>
    <xf numFmtId="165" fontId="23" fillId="0" borderId="0" xfId="1" applyNumberFormat="1" applyFont="1" applyFill="1" applyAlignment="1">
      <alignment horizontal="center"/>
    </xf>
    <xf numFmtId="165" fontId="23" fillId="0" borderId="0" xfId="1" applyNumberFormat="1" applyFont="1" applyFill="1"/>
    <xf numFmtId="165" fontId="34" fillId="0" borderId="0" xfId="1" applyNumberFormat="1" applyFont="1" applyFill="1"/>
    <xf numFmtId="165" fontId="23" fillId="19" borderId="0" xfId="1" applyNumberFormat="1" applyFont="1" applyFill="1" applyAlignment="1">
      <alignment horizontal="center"/>
    </xf>
    <xf numFmtId="165" fontId="23" fillId="19" borderId="0" xfId="1" applyNumberFormat="1" applyFont="1" applyFill="1"/>
    <xf numFmtId="165" fontId="12" fillId="19" borderId="0" xfId="1" applyNumberFormat="1" applyFont="1" applyFill="1"/>
    <xf numFmtId="165" fontId="12" fillId="0" borderId="0" xfId="1" applyNumberFormat="1" applyFont="1" applyAlignment="1">
      <alignment horizontal="center"/>
    </xf>
    <xf numFmtId="165" fontId="23" fillId="20" borderId="0" xfId="1" applyNumberFormat="1" applyFont="1" applyFill="1" applyAlignment="1">
      <alignment horizontal="center"/>
    </xf>
    <xf numFmtId="165" fontId="12" fillId="20" borderId="0" xfId="1" applyNumberFormat="1" applyFont="1" applyFill="1"/>
    <xf numFmtId="165" fontId="12" fillId="5" borderId="0" xfId="1" applyNumberFormat="1" applyFont="1" applyFill="1" applyAlignment="1">
      <alignment horizontal="center"/>
    </xf>
    <xf numFmtId="165" fontId="12" fillId="5" borderId="0" xfId="1" applyNumberFormat="1" applyFont="1" applyFill="1"/>
    <xf numFmtId="164" fontId="11" fillId="0" borderId="1" xfId="0" applyNumberFormat="1" applyFont="1" applyBorder="1" applyAlignment="1">
      <alignment vertical="center" wrapText="1"/>
    </xf>
    <xf numFmtId="165" fontId="15" fillId="21" borderId="4" xfId="1" applyNumberFormat="1" applyFont="1" applyFill="1" applyBorder="1" applyAlignment="1">
      <alignment horizontal="center" vertical="center" wrapText="1"/>
    </xf>
    <xf numFmtId="165" fontId="15" fillId="0" borderId="12" xfId="1" applyNumberFormat="1" applyFont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165" fontId="11" fillId="22" borderId="4" xfId="1" applyNumberFormat="1" applyFont="1" applyFill="1" applyBorder="1" applyAlignment="1">
      <alignment horizontal="center"/>
    </xf>
    <xf numFmtId="165" fontId="11" fillId="0" borderId="17" xfId="1" applyNumberFormat="1" applyFont="1" applyBorder="1" applyAlignment="1">
      <alignment horizontal="center"/>
    </xf>
    <xf numFmtId="165" fontId="11" fillId="0" borderId="3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vertical="center"/>
    </xf>
    <xf numFmtId="165" fontId="11" fillId="22" borderId="4" xfId="1" applyNumberFormat="1" applyFont="1" applyFill="1" applyBorder="1" applyAlignment="1">
      <alignment horizontal="center" vertical="center"/>
    </xf>
    <xf numFmtId="165" fontId="11" fillId="0" borderId="6" xfId="1" applyNumberFormat="1" applyFont="1" applyBorder="1" applyAlignment="1">
      <alignment horizontal="center"/>
    </xf>
    <xf numFmtId="164" fontId="29" fillId="0" borderId="12" xfId="1" applyFont="1" applyBorder="1"/>
    <xf numFmtId="165" fontId="11" fillId="0" borderId="15" xfId="1" applyNumberFormat="1" applyFont="1" applyBorder="1" applyAlignment="1">
      <alignment horizontal="center"/>
    </xf>
    <xf numFmtId="165" fontId="11" fillId="0" borderId="18" xfId="1" applyNumberFormat="1" applyFont="1" applyBorder="1" applyAlignment="1">
      <alignment horizontal="center"/>
    </xf>
    <xf numFmtId="165" fontId="11" fillId="22" borderId="15" xfId="1" applyNumberFormat="1" applyFont="1" applyFill="1" applyBorder="1" applyAlignment="1">
      <alignment horizontal="center"/>
    </xf>
    <xf numFmtId="166" fontId="21" fillId="0" borderId="0" xfId="0" applyNumberFormat="1" applyFont="1"/>
    <xf numFmtId="164" fontId="31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Border="1" applyAlignment="1">
      <alignment horizontal="center"/>
    </xf>
    <xf numFmtId="165" fontId="11" fillId="2" borderId="4" xfId="1" applyNumberFormat="1" applyFont="1" applyFill="1" applyBorder="1" applyAlignment="1">
      <alignment horizontal="center" vertical="center" wrapText="1"/>
    </xf>
    <xf numFmtId="165" fontId="11" fillId="2" borderId="4" xfId="1" applyNumberFormat="1" applyFont="1" applyFill="1" applyBorder="1" applyAlignment="1">
      <alignment horizontal="center"/>
    </xf>
    <xf numFmtId="165" fontId="11" fillId="5" borderId="12" xfId="1" applyNumberFormat="1" applyFont="1" applyFill="1" applyBorder="1" applyAlignment="1">
      <alignment horizontal="center"/>
    </xf>
    <xf numFmtId="165" fontId="11" fillId="5" borderId="4" xfId="1" applyNumberFormat="1" applyFont="1" applyFill="1" applyBorder="1" applyAlignment="1">
      <alignment horizontal="center"/>
    </xf>
    <xf numFmtId="165" fontId="11" fillId="0" borderId="3" xfId="1" applyNumberFormat="1" applyFont="1" applyBorder="1" applyAlignment="1">
      <alignment horizontal="center"/>
    </xf>
    <xf numFmtId="165" fontId="11" fillId="5" borderId="17" xfId="1" applyNumberFormat="1" applyFont="1" applyFill="1" applyBorder="1" applyAlignment="1">
      <alignment horizontal="center"/>
    </xf>
    <xf numFmtId="165" fontId="11" fillId="5" borderId="3" xfId="1" applyNumberFormat="1" applyFont="1" applyFill="1" applyBorder="1" applyAlignment="1">
      <alignment horizontal="center"/>
    </xf>
    <xf numFmtId="165" fontId="11" fillId="0" borderId="14" xfId="1" applyNumberFormat="1" applyFont="1" applyBorder="1" applyAlignment="1">
      <alignment horizontal="center"/>
    </xf>
    <xf numFmtId="165" fontId="11" fillId="5" borderId="16" xfId="1" applyNumberFormat="1" applyFont="1" applyFill="1" applyBorder="1" applyAlignment="1">
      <alignment horizontal="center"/>
    </xf>
    <xf numFmtId="165" fontId="11" fillId="5" borderId="14" xfId="1" applyNumberFormat="1" applyFont="1" applyFill="1" applyBorder="1" applyAlignment="1">
      <alignment horizontal="center"/>
    </xf>
    <xf numFmtId="165" fontId="11" fillId="0" borderId="4" xfId="1" applyNumberFormat="1" applyFont="1" applyFill="1" applyBorder="1" applyAlignment="1">
      <alignment horizontal="center"/>
    </xf>
    <xf numFmtId="165" fontId="11" fillId="0" borderId="14" xfId="1" applyNumberFormat="1" applyFont="1" applyFill="1" applyBorder="1" applyAlignment="1">
      <alignment horizontal="center"/>
    </xf>
    <xf numFmtId="165" fontId="36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Alignment="1">
      <alignment horizontal="center"/>
    </xf>
    <xf numFmtId="165" fontId="34" fillId="0" borderId="0" xfId="1" applyNumberFormat="1" applyFont="1" applyAlignment="1">
      <alignment horizontal="left"/>
    </xf>
    <xf numFmtId="165" fontId="34" fillId="0" borderId="0" xfId="1" applyNumberFormat="1" applyFont="1"/>
    <xf numFmtId="0" fontId="18" fillId="0" borderId="0" xfId="0" applyFont="1" applyAlignment="1">
      <alignment wrapText="1"/>
    </xf>
    <xf numFmtId="165" fontId="37" fillId="0" borderId="0" xfId="1" applyNumberFormat="1" applyFont="1" applyAlignment="1">
      <alignment horizontal="left"/>
    </xf>
    <xf numFmtId="165" fontId="37" fillId="0" borderId="0" xfId="1" applyNumberFormat="1" applyFont="1"/>
    <xf numFmtId="165" fontId="18" fillId="0" borderId="0" xfId="1" applyNumberFormat="1" applyFont="1" applyAlignment="1">
      <alignment horizontal="center"/>
    </xf>
    <xf numFmtId="165" fontId="18" fillId="0" borderId="0" xfId="1" applyNumberFormat="1" applyFont="1"/>
    <xf numFmtId="165" fontId="11" fillId="0" borderId="0" xfId="1" applyNumberFormat="1" applyFont="1"/>
    <xf numFmtId="0" fontId="15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2" fillId="0" borderId="10" xfId="0" applyFont="1" applyBorder="1"/>
    <xf numFmtId="0" fontId="12" fillId="0" borderId="5" xfId="0" applyFont="1" applyBorder="1"/>
    <xf numFmtId="166" fontId="11" fillId="15" borderId="4" xfId="0" applyNumberFormat="1" applyFont="1" applyFill="1" applyBorder="1" applyAlignment="1">
      <alignment horizontal="center"/>
    </xf>
    <xf numFmtId="166" fontId="11" fillId="16" borderId="4" xfId="0" applyNumberFormat="1" applyFont="1" applyFill="1" applyBorder="1" applyAlignment="1">
      <alignment horizontal="center"/>
    </xf>
    <xf numFmtId="166" fontId="12" fillId="13" borderId="4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1" fillId="15" borderId="4" xfId="0" applyFont="1" applyFill="1" applyBorder="1" applyAlignment="1">
      <alignment horizontal="center"/>
    </xf>
    <xf numFmtId="1" fontId="11" fillId="16" borderId="4" xfId="0" applyNumberFormat="1" applyFont="1" applyFill="1" applyBorder="1" applyAlignment="1">
      <alignment horizontal="center"/>
    </xf>
    <xf numFmtId="166" fontId="12" fillId="0" borderId="4" xfId="0" applyNumberFormat="1" applyFont="1" applyBorder="1"/>
    <xf numFmtId="0" fontId="12" fillId="0" borderId="14" xfId="0" applyFont="1" applyBorder="1"/>
    <xf numFmtId="0" fontId="12" fillId="0" borderId="16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center"/>
    </xf>
    <xf numFmtId="166" fontId="11" fillId="15" borderId="6" xfId="0" applyNumberFormat="1" applyFont="1" applyFill="1" applyBorder="1" applyAlignment="1">
      <alignment horizontal="center"/>
    </xf>
    <xf numFmtId="166" fontId="11" fillId="16" borderId="6" xfId="0" applyNumberFormat="1" applyFont="1" applyFill="1" applyBorder="1" applyAlignment="1">
      <alignment horizontal="center"/>
    </xf>
    <xf numFmtId="166" fontId="11" fillId="0" borderId="6" xfId="0" applyNumberFormat="1" applyFont="1" applyBorder="1"/>
    <xf numFmtId="0" fontId="11" fillId="0" borderId="5" xfId="0" applyFont="1" applyBorder="1" applyAlignment="1">
      <alignment horizontal="center"/>
    </xf>
    <xf numFmtId="0" fontId="12" fillId="0" borderId="6" xfId="0" applyFont="1" applyBorder="1"/>
    <xf numFmtId="0" fontId="0" fillId="0" borderId="16" xfId="0" applyBorder="1"/>
    <xf numFmtId="0" fontId="0" fillId="0" borderId="13" xfId="0" applyBorder="1"/>
    <xf numFmtId="166" fontId="11" fillId="15" borderId="14" xfId="0" applyNumberFormat="1" applyFont="1" applyFill="1" applyBorder="1" applyAlignment="1">
      <alignment horizontal="center"/>
    </xf>
    <xf numFmtId="166" fontId="11" fillId="16" borderId="14" xfId="0" applyNumberFormat="1" applyFont="1" applyFill="1" applyBorder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166" fontId="12" fillId="13" borderId="4" xfId="0" applyNumberFormat="1" applyFont="1" applyFill="1" applyBorder="1" applyAlignment="1">
      <alignment horizontal="center"/>
    </xf>
    <xf numFmtId="166" fontId="12" fillId="13" borderId="4" xfId="0" applyNumberFormat="1" applyFont="1" applyFill="1" applyBorder="1" applyAlignment="1">
      <alignment horizontal="center" vertical="center"/>
    </xf>
    <xf numFmtId="166" fontId="12" fillId="25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 vertical="center"/>
    </xf>
    <xf numFmtId="166" fontId="12" fillId="13" borderId="14" xfId="0" applyNumberFormat="1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0" fontId="12" fillId="13" borderId="14" xfId="0" applyFont="1" applyFill="1" applyBorder="1"/>
    <xf numFmtId="0" fontId="12" fillId="13" borderId="14" xfId="0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166" fontId="11" fillId="13" borderId="6" xfId="0" applyNumberFormat="1" applyFont="1" applyFill="1" applyBorder="1" applyAlignment="1">
      <alignment horizontal="center"/>
    </xf>
    <xf numFmtId="166" fontId="12" fillId="0" borderId="6" xfId="0" applyNumberFormat="1" applyFont="1" applyBorder="1"/>
    <xf numFmtId="0" fontId="11" fillId="0" borderId="5" xfId="0" applyFont="1" applyBorder="1" applyAlignment="1">
      <alignment horizontal="center" vertical="center"/>
    </xf>
    <xf numFmtId="166" fontId="12" fillId="17" borderId="4" xfId="0" applyNumberFormat="1" applyFont="1" applyFill="1" applyBorder="1" applyAlignment="1">
      <alignment horizontal="center"/>
    </xf>
    <xf numFmtId="166" fontId="12" fillId="17" borderId="6" xfId="0" applyNumberFormat="1" applyFont="1" applyFill="1" applyBorder="1" applyAlignment="1">
      <alignment horizontal="center"/>
    </xf>
    <xf numFmtId="166" fontId="12" fillId="17" borderId="14" xfId="0" applyNumberFormat="1" applyFont="1" applyFill="1" applyBorder="1" applyAlignment="1">
      <alignment horizontal="center"/>
    </xf>
    <xf numFmtId="166" fontId="12" fillId="0" borderId="14" xfId="0" applyNumberFormat="1" applyFont="1" applyBorder="1"/>
    <xf numFmtId="166" fontId="11" fillId="17" borderId="6" xfId="0" applyNumberFormat="1" applyFont="1" applyFill="1" applyBorder="1" applyAlignment="1">
      <alignment horizontal="center"/>
    </xf>
    <xf numFmtId="166" fontId="11" fillId="17" borderId="6" xfId="0" applyNumberFormat="1" applyFont="1" applyFill="1" applyBorder="1"/>
    <xf numFmtId="166" fontId="11" fillId="12" borderId="6" xfId="0" applyNumberFormat="1" applyFont="1" applyFill="1" applyBorder="1" applyAlignment="1">
      <alignment horizontal="center" vertical="center"/>
    </xf>
    <xf numFmtId="0" fontId="42" fillId="23" borderId="11" xfId="0" applyFont="1" applyFill="1" applyBorder="1"/>
    <xf numFmtId="0" fontId="15" fillId="14" borderId="6" xfId="0" applyFont="1" applyFill="1" applyBorder="1" applyAlignment="1">
      <alignment horizontal="center"/>
    </xf>
    <xf numFmtId="166" fontId="12" fillId="14" borderId="4" xfId="0" applyNumberFormat="1" applyFont="1" applyFill="1" applyBorder="1"/>
    <xf numFmtId="166" fontId="11" fillId="0" borderId="4" xfId="0" applyNumberFormat="1" applyFont="1" applyBorder="1" applyAlignment="1">
      <alignment horizontal="center"/>
    </xf>
    <xf numFmtId="166" fontId="11" fillId="0" borderId="12" xfId="0" applyNumberFormat="1" applyFont="1" applyBorder="1" applyAlignment="1">
      <alignment horizontal="center"/>
    </xf>
    <xf numFmtId="166" fontId="11" fillId="22" borderId="4" xfId="0" applyNumberFormat="1" applyFont="1" applyFill="1" applyBorder="1" applyAlignment="1">
      <alignment horizontal="center"/>
    </xf>
    <xf numFmtId="0" fontId="12" fillId="14" borderId="4" xfId="0" applyFont="1" applyFill="1" applyBorder="1"/>
    <xf numFmtId="0" fontId="11" fillId="22" borderId="21" xfId="0" applyFont="1" applyFill="1" applyBorder="1" applyAlignment="1">
      <alignment horizontal="center"/>
    </xf>
    <xf numFmtId="0" fontId="11" fillId="22" borderId="4" xfId="0" applyFont="1" applyFill="1" applyBorder="1" applyAlignment="1">
      <alignment horizontal="center"/>
    </xf>
    <xf numFmtId="0" fontId="12" fillId="14" borderId="14" xfId="0" applyFont="1" applyFill="1" applyBorder="1"/>
    <xf numFmtId="166" fontId="11" fillId="0" borderId="14" xfId="0" applyNumberFormat="1" applyFont="1" applyBorder="1" applyAlignment="1">
      <alignment horizontal="center"/>
    </xf>
    <xf numFmtId="166" fontId="11" fillId="0" borderId="16" xfId="0" applyNumberFormat="1" applyFont="1" applyBorder="1" applyAlignment="1">
      <alignment horizontal="center"/>
    </xf>
    <xf numFmtId="166" fontId="11" fillId="22" borderId="14" xfId="0" applyNumberFormat="1" applyFont="1" applyFill="1" applyBorder="1" applyAlignment="1">
      <alignment horizontal="center"/>
    </xf>
    <xf numFmtId="166" fontId="12" fillId="14" borderId="6" xfId="0" applyNumberFormat="1" applyFont="1" applyFill="1" applyBorder="1"/>
    <xf numFmtId="166" fontId="11" fillId="0" borderId="6" xfId="0" applyNumberFormat="1" applyFont="1" applyBorder="1" applyAlignment="1">
      <alignment horizontal="center"/>
    </xf>
    <xf numFmtId="166" fontId="11" fillId="22" borderId="6" xfId="0" applyNumberFormat="1" applyFont="1" applyFill="1" applyBorder="1" applyAlignment="1">
      <alignment horizontal="center"/>
    </xf>
    <xf numFmtId="0" fontId="11" fillId="14" borderId="5" xfId="0" applyFont="1" applyFill="1" applyBorder="1"/>
    <xf numFmtId="0" fontId="11" fillId="0" borderId="4" xfId="0" applyFont="1" applyBorder="1" applyAlignment="1">
      <alignment horizontal="center"/>
    </xf>
    <xf numFmtId="0" fontId="35" fillId="14" borderId="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/>
    </xf>
    <xf numFmtId="166" fontId="12" fillId="14" borderId="14" xfId="0" applyNumberFormat="1" applyFont="1" applyFill="1" applyBorder="1"/>
    <xf numFmtId="166" fontId="11" fillId="2" borderId="14" xfId="0" applyNumberFormat="1" applyFont="1" applyFill="1" applyBorder="1" applyAlignment="1">
      <alignment horizontal="center"/>
    </xf>
    <xf numFmtId="166" fontId="11" fillId="2" borderId="15" xfId="0" applyNumberFormat="1" applyFont="1" applyFill="1" applyBorder="1" applyAlignment="1">
      <alignment horizontal="center"/>
    </xf>
    <xf numFmtId="0" fontId="42" fillId="23" borderId="8" xfId="0" applyFont="1" applyFill="1" applyBorder="1" applyAlignment="1">
      <alignment horizontal="center"/>
    </xf>
    <xf numFmtId="0" fontId="42" fillId="24" borderId="12" xfId="0" applyFont="1" applyFill="1" applyBorder="1"/>
    <xf numFmtId="0" fontId="0" fillId="24" borderId="1" xfId="0" applyFill="1" applyBorder="1"/>
    <xf numFmtId="0" fontId="0" fillId="24" borderId="7" xfId="0" applyFill="1" applyBorder="1"/>
    <xf numFmtId="0" fontId="1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7" fillId="13" borderId="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11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7" fillId="17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1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39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41" fillId="23" borderId="2" xfId="0" applyFont="1" applyFill="1" applyBorder="1"/>
    <xf numFmtId="0" fontId="41" fillId="23" borderId="11" xfId="0" applyFont="1" applyFill="1" applyBorder="1"/>
    <xf numFmtId="0" fontId="41" fillId="23" borderId="11" xfId="0" applyFont="1" applyFill="1" applyBorder="1" applyAlignment="1">
      <alignment horizontal="center"/>
    </xf>
    <xf numFmtId="0" fontId="42" fillId="23" borderId="12" xfId="0" applyFont="1" applyFill="1" applyBorder="1"/>
    <xf numFmtId="0" fontId="42" fillId="23" borderId="1" xfId="0" applyFont="1" applyFill="1" applyBorder="1"/>
    <xf numFmtId="0" fontId="42" fillId="23" borderId="7" xfId="0" applyFont="1" applyFill="1" applyBorder="1"/>
    <xf numFmtId="0" fontId="41" fillId="24" borderId="2" xfId="0" applyFont="1" applyFill="1" applyBorder="1"/>
    <xf numFmtId="0" fontId="43" fillId="24" borderId="11" xfId="0" applyFont="1" applyFill="1" applyBorder="1"/>
    <xf numFmtId="0" fontId="43" fillId="24" borderId="8" xfId="0" applyFont="1" applyFill="1" applyBorder="1"/>
    <xf numFmtId="165" fontId="34" fillId="0" borderId="0" xfId="1" applyNumberFormat="1" applyFont="1" applyAlignment="1">
      <alignment horizontal="center" vertical="center"/>
    </xf>
    <xf numFmtId="165" fontId="12" fillId="5" borderId="0" xfId="1" applyNumberFormat="1" applyFont="1" applyFill="1" applyAlignment="1">
      <alignment horizontal="center" vertical="center" wrapText="1"/>
    </xf>
    <xf numFmtId="165" fontId="23" fillId="4" borderId="0" xfId="1" applyNumberFormat="1" applyFont="1" applyFill="1" applyAlignment="1">
      <alignment horizontal="center" vertical="center"/>
    </xf>
    <xf numFmtId="165" fontId="23" fillId="19" borderId="0" xfId="1" applyNumberFormat="1" applyFont="1" applyFill="1" applyAlignment="1">
      <alignment horizontal="center" vertical="center"/>
    </xf>
    <xf numFmtId="165" fontId="12" fillId="20" borderId="0" xfId="1" applyNumberFormat="1" applyFont="1" applyFill="1" applyAlignment="1">
      <alignment horizontal="center" vertical="center"/>
    </xf>
    <xf numFmtId="165" fontId="12" fillId="5" borderId="0" xfId="1" applyNumberFormat="1" applyFont="1" applyFill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ColWidth="9" defaultRowHeight="15"/>
  <cols>
    <col min="4" max="4" width="9.85546875" customWidth="1"/>
    <col min="5" max="5" width="1" customWidth="1"/>
    <col min="6" max="6" width="12" style="26" customWidth="1"/>
    <col min="7" max="7" width="10.85546875" style="26" customWidth="1"/>
    <col min="8" max="8" width="11.42578125" hidden="1" customWidth="1"/>
    <col min="9" max="9" width="10.42578125" style="26" hidden="1" customWidth="1"/>
    <col min="10" max="11" width="10.85546875" style="26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26" customWidth="1"/>
    <col min="22" max="22" width="12" style="26" customWidth="1"/>
    <col min="23" max="23" width="16.140625" style="26" customWidth="1"/>
  </cols>
  <sheetData>
    <row r="1" spans="1:23" ht="6" customHeight="1"/>
    <row r="2" spans="1:23" ht="21" customHeight="1">
      <c r="A2" s="311"/>
      <c r="B2" s="312"/>
      <c r="C2" s="313"/>
      <c r="D2" s="313"/>
      <c r="E2" s="313"/>
      <c r="F2" s="314"/>
      <c r="G2" s="315" t="s">
        <v>0</v>
      </c>
      <c r="H2" s="315"/>
      <c r="I2" s="315"/>
      <c r="J2" s="315"/>
      <c r="K2" s="315"/>
      <c r="L2" s="315"/>
      <c r="M2" s="341"/>
      <c r="N2" s="342"/>
      <c r="O2" s="342"/>
      <c r="P2" s="342"/>
      <c r="Q2" s="342"/>
      <c r="R2" s="342"/>
      <c r="S2" s="342"/>
      <c r="T2" s="342"/>
      <c r="U2" s="342"/>
    </row>
    <row r="3" spans="1:23" ht="37.5" customHeight="1">
      <c r="A3" s="399" t="s">
        <v>1</v>
      </c>
      <c r="B3" s="400"/>
      <c r="C3" s="400"/>
      <c r="D3" s="400"/>
      <c r="E3" s="401"/>
      <c r="F3" s="395" t="s">
        <v>2</v>
      </c>
      <c r="G3" s="395" t="s">
        <v>2</v>
      </c>
      <c r="H3" s="133" t="s">
        <v>3</v>
      </c>
      <c r="I3" s="397" t="s">
        <v>4</v>
      </c>
      <c r="J3" s="397" t="s">
        <v>5</v>
      </c>
      <c r="K3" s="397" t="s">
        <v>6</v>
      </c>
      <c r="L3" s="397" t="s">
        <v>7</v>
      </c>
      <c r="M3" s="343" t="s">
        <v>8</v>
      </c>
      <c r="N3" s="343" t="s">
        <v>9</v>
      </c>
      <c r="O3" s="133"/>
      <c r="P3" s="133"/>
      <c r="Q3" s="133"/>
      <c r="R3" s="133"/>
      <c r="S3" s="158"/>
      <c r="T3" s="158"/>
      <c r="U3" s="395" t="s">
        <v>10</v>
      </c>
      <c r="V3" s="395" t="s">
        <v>11</v>
      </c>
      <c r="W3" s="412" t="s">
        <v>12</v>
      </c>
    </row>
    <row r="4" spans="1:23" ht="0.75" customHeight="1">
      <c r="A4" s="134"/>
      <c r="B4" s="135"/>
      <c r="C4" s="135"/>
      <c r="D4" s="135"/>
      <c r="E4" s="135"/>
      <c r="F4" s="396"/>
      <c r="G4" s="396"/>
      <c r="H4" s="156" t="s">
        <v>13</v>
      </c>
      <c r="I4" s="398"/>
      <c r="J4" s="398"/>
      <c r="K4" s="398"/>
      <c r="L4" s="398"/>
      <c r="M4" s="344" t="s">
        <v>8</v>
      </c>
      <c r="N4" s="344" t="s">
        <v>9</v>
      </c>
      <c r="O4" s="345" t="s">
        <v>14</v>
      </c>
      <c r="P4" s="345" t="s">
        <v>15</v>
      </c>
      <c r="Q4" s="345" t="s">
        <v>16</v>
      </c>
      <c r="R4" s="345" t="s">
        <v>17</v>
      </c>
      <c r="S4" s="368" t="s">
        <v>18</v>
      </c>
      <c r="T4" s="368" t="s">
        <v>19</v>
      </c>
      <c r="U4" s="396"/>
      <c r="V4" s="411"/>
      <c r="W4" s="413"/>
    </row>
    <row r="5" spans="1:23" ht="15.75">
      <c r="A5" s="316" t="s">
        <v>20</v>
      </c>
      <c r="B5" s="317"/>
      <c r="C5" s="317"/>
      <c r="D5" s="317"/>
      <c r="E5" s="317"/>
      <c r="F5" s="318">
        <v>25090303</v>
      </c>
      <c r="G5" s="319">
        <f>F5/12</f>
        <v>2090858.58333333</v>
      </c>
      <c r="H5" s="320"/>
      <c r="I5" s="346">
        <v>2150745</v>
      </c>
      <c r="J5" s="346">
        <v>2150245</v>
      </c>
      <c r="K5" s="346">
        <v>1812865</v>
      </c>
      <c r="L5" s="320">
        <v>1921915</v>
      </c>
      <c r="M5" s="347">
        <v>2257168</v>
      </c>
      <c r="N5" s="348">
        <v>1834383</v>
      </c>
      <c r="O5" s="325"/>
      <c r="P5" s="325"/>
      <c r="Q5" s="325"/>
      <c r="R5" s="325"/>
      <c r="S5" s="369"/>
      <c r="T5" s="369"/>
      <c r="U5" s="370">
        <f t="shared" ref="U5:U31" si="0">SUM(I5:T5)</f>
        <v>12127321</v>
      </c>
      <c r="V5" s="371">
        <f>G5*6</f>
        <v>12545151.5</v>
      </c>
      <c r="W5" s="372">
        <f>U5-V5</f>
        <v>-417830.5</v>
      </c>
    </row>
    <row r="6" spans="1:23" ht="15.75">
      <c r="A6" s="316" t="s">
        <v>21</v>
      </c>
      <c r="B6" s="317"/>
      <c r="C6" s="317"/>
      <c r="D6" s="317"/>
      <c r="E6" s="317"/>
      <c r="F6" s="321"/>
      <c r="G6" s="321"/>
      <c r="H6" s="322"/>
      <c r="I6" s="321"/>
      <c r="J6" s="321"/>
      <c r="K6" s="321"/>
      <c r="L6" s="322"/>
      <c r="M6" s="349"/>
      <c r="N6" s="349"/>
      <c r="O6" s="322"/>
      <c r="P6" s="322"/>
      <c r="Q6" s="322"/>
      <c r="R6" s="322"/>
      <c r="S6" s="373"/>
      <c r="T6" s="369"/>
      <c r="U6" s="370">
        <f t="shared" si="0"/>
        <v>0</v>
      </c>
      <c r="V6" s="371"/>
      <c r="W6" s="374"/>
    </row>
    <row r="7" spans="1:23" ht="15.75">
      <c r="A7" s="316" t="s">
        <v>22</v>
      </c>
      <c r="B7" s="317"/>
      <c r="C7" s="317"/>
      <c r="D7" s="317"/>
      <c r="E7" s="317"/>
      <c r="F7" s="323">
        <v>200000</v>
      </c>
      <c r="G7" s="324">
        <f>F7/12</f>
        <v>16666.666666666701</v>
      </c>
      <c r="H7" s="325"/>
      <c r="I7" s="346">
        <f>35940+340</f>
        <v>36280</v>
      </c>
      <c r="J7" s="346">
        <v>58470</v>
      </c>
      <c r="K7" s="346">
        <v>37120</v>
      </c>
      <c r="L7" s="320">
        <v>28150</v>
      </c>
      <c r="M7" s="347">
        <v>55530</v>
      </c>
      <c r="N7" s="348">
        <v>37600</v>
      </c>
      <c r="O7" s="325"/>
      <c r="P7" s="325"/>
      <c r="Q7" s="325"/>
      <c r="R7" s="325"/>
      <c r="S7" s="369"/>
      <c r="T7" s="369"/>
      <c r="U7" s="370">
        <f t="shared" si="0"/>
        <v>253150</v>
      </c>
      <c r="V7" s="371">
        <f>G7*6</f>
        <v>100000</v>
      </c>
      <c r="W7" s="372">
        <f>U7-V7</f>
        <v>153150</v>
      </c>
    </row>
    <row r="8" spans="1:23" ht="15.75">
      <c r="A8" s="316" t="s">
        <v>23</v>
      </c>
      <c r="B8" s="317"/>
      <c r="C8" s="317"/>
      <c r="D8" s="317"/>
      <c r="E8" s="317"/>
      <c r="F8" s="321"/>
      <c r="G8" s="321"/>
      <c r="H8" s="322"/>
      <c r="I8" s="350"/>
      <c r="J8" s="350"/>
      <c r="K8" s="350"/>
      <c r="L8" s="325"/>
      <c r="M8" s="351"/>
      <c r="N8" s="351"/>
      <c r="O8" s="325"/>
      <c r="P8" s="325"/>
      <c r="Q8" s="325"/>
      <c r="R8" s="325"/>
      <c r="S8" s="369"/>
      <c r="T8" s="369"/>
      <c r="U8" s="370">
        <f t="shared" si="0"/>
        <v>0</v>
      </c>
      <c r="V8" s="371"/>
      <c r="W8" s="375"/>
    </row>
    <row r="9" spans="1:23" ht="15.75">
      <c r="A9" s="326" t="s">
        <v>24</v>
      </c>
      <c r="B9" s="327"/>
      <c r="C9" s="328"/>
      <c r="D9" s="328"/>
      <c r="E9" s="328"/>
      <c r="F9" s="329"/>
      <c r="G9" s="329"/>
      <c r="H9" s="326"/>
      <c r="I9" s="352">
        <f>15000+99836+10860+240</f>
        <v>125936</v>
      </c>
      <c r="J9" s="352">
        <v>15240</v>
      </c>
      <c r="K9" s="353">
        <v>15240</v>
      </c>
      <c r="L9" s="354">
        <v>107699</v>
      </c>
      <c r="M9" s="355">
        <v>26100</v>
      </c>
      <c r="N9" s="356">
        <v>15240</v>
      </c>
      <c r="O9" s="326"/>
      <c r="P9" s="326"/>
      <c r="Q9" s="363"/>
      <c r="R9" s="326"/>
      <c r="S9" s="376"/>
      <c r="T9" s="376"/>
      <c r="U9" s="377">
        <f t="shared" si="0"/>
        <v>305455</v>
      </c>
      <c r="V9" s="378">
        <f>G9*5</f>
        <v>0</v>
      </c>
      <c r="W9" s="379">
        <f>U9-V9</f>
        <v>305455</v>
      </c>
    </row>
    <row r="10" spans="1:23" ht="15.75">
      <c r="A10" s="402" t="s">
        <v>25</v>
      </c>
      <c r="B10" s="403"/>
      <c r="C10" s="403"/>
      <c r="D10" s="403"/>
      <c r="E10" s="404"/>
      <c r="F10" s="330">
        <f t="shared" ref="F10:N10" si="1">SUM(F5:F9)</f>
        <v>25290303</v>
      </c>
      <c r="G10" s="331">
        <f t="shared" si="1"/>
        <v>2107525.25</v>
      </c>
      <c r="H10" s="332">
        <f t="shared" si="1"/>
        <v>0</v>
      </c>
      <c r="I10" s="357">
        <f t="shared" si="1"/>
        <v>2312961</v>
      </c>
      <c r="J10" s="357">
        <f t="shared" si="1"/>
        <v>2223955</v>
      </c>
      <c r="K10" s="357">
        <f t="shared" si="1"/>
        <v>1865225</v>
      </c>
      <c r="L10" s="357">
        <f t="shared" si="1"/>
        <v>2057764</v>
      </c>
      <c r="M10" s="357">
        <f t="shared" si="1"/>
        <v>2338798</v>
      </c>
      <c r="N10" s="357">
        <f t="shared" si="1"/>
        <v>1887223</v>
      </c>
      <c r="O10" s="358"/>
      <c r="P10" s="358"/>
      <c r="Q10" s="358"/>
      <c r="R10" s="358"/>
      <c r="S10" s="380"/>
      <c r="T10" s="380"/>
      <c r="U10" s="381">
        <f t="shared" si="0"/>
        <v>12685926</v>
      </c>
      <c r="V10" s="371">
        <f>G10*6</f>
        <v>12645151.5</v>
      </c>
      <c r="W10" s="382">
        <f>U10-V10</f>
        <v>40774.5</v>
      </c>
    </row>
    <row r="11" spans="1:23" ht="33" customHeight="1">
      <c r="A11" s="405" t="s">
        <v>26</v>
      </c>
      <c r="B11" s="406"/>
      <c r="C11" s="406"/>
      <c r="D11" s="406"/>
      <c r="E11" s="406"/>
      <c r="F11" s="333"/>
      <c r="G11" s="333"/>
      <c r="H11" s="144"/>
      <c r="I11" s="333"/>
      <c r="J11" s="333"/>
      <c r="K11" s="333"/>
      <c r="L11" s="144"/>
      <c r="M11" s="359"/>
      <c r="N11" s="359"/>
      <c r="O11" s="144"/>
      <c r="P11" s="144"/>
      <c r="Q11" s="144"/>
      <c r="R11" s="144"/>
      <c r="S11" s="383"/>
      <c r="T11" s="383"/>
      <c r="U11" s="384"/>
      <c r="V11" s="385"/>
      <c r="W11" s="386" t="s">
        <v>27</v>
      </c>
    </row>
    <row r="12" spans="1:23" ht="15.75">
      <c r="A12" s="138" t="s">
        <v>28</v>
      </c>
      <c r="B12" s="139"/>
      <c r="C12" s="139"/>
      <c r="D12" s="139"/>
      <c r="E12" s="139"/>
      <c r="F12" s="318">
        <v>900000</v>
      </c>
      <c r="G12" s="319">
        <f t="shared" ref="G12:G31" si="2">F12/12</f>
        <v>75000</v>
      </c>
      <c r="H12" s="322"/>
      <c r="I12" s="360" t="e">
        <f>'общехоз расходы'!#REF!</f>
        <v>#REF!</v>
      </c>
      <c r="J12" s="360" t="e">
        <f>'общехоз расходы'!#REF!</f>
        <v>#REF!</v>
      </c>
      <c r="K12" s="360" t="e">
        <f>'общехоз расходы'!#REF!</f>
        <v>#REF!</v>
      </c>
      <c r="L12" s="360" t="e">
        <f>'общехоз расходы'!#REF!</f>
        <v>#REF!</v>
      </c>
      <c r="M12" s="360" t="e">
        <f>'общехоз расходы'!#REF!</f>
        <v>#REF!</v>
      </c>
      <c r="N12" s="360">
        <f>'общехоз расходы'!B86</f>
        <v>0</v>
      </c>
      <c r="O12" s="325"/>
      <c r="P12" s="325"/>
      <c r="Q12" s="325"/>
      <c r="R12" s="325"/>
      <c r="S12" s="369"/>
      <c r="T12" s="369"/>
      <c r="U12" s="370" t="e">
        <f t="shared" si="0"/>
        <v>#REF!</v>
      </c>
      <c r="V12" s="371">
        <f t="shared" ref="V12:V31" si="3">G12*6</f>
        <v>450000</v>
      </c>
      <c r="W12" s="387" t="e">
        <f t="shared" ref="W12:W31" si="4">V12-U12</f>
        <v>#REF!</v>
      </c>
    </row>
    <row r="13" spans="1:23" ht="15.75">
      <c r="A13" s="134" t="s">
        <v>29</v>
      </c>
      <c r="B13" s="135"/>
      <c r="C13" s="135"/>
      <c r="D13" s="135"/>
      <c r="E13" s="135"/>
      <c r="F13" s="330">
        <v>160000</v>
      </c>
      <c r="G13" s="319">
        <f t="shared" si="2"/>
        <v>13333.333333333299</v>
      </c>
      <c r="H13" s="334"/>
      <c r="I13" s="361" t="e">
        <f>'прогр обесп'!#REF!</f>
        <v>#REF!</v>
      </c>
      <c r="J13" s="361" t="e">
        <f>'прогр обесп'!#REF!</f>
        <v>#REF!</v>
      </c>
      <c r="K13" s="361" t="e">
        <f>'прогр обесп'!#REF!</f>
        <v>#REF!</v>
      </c>
      <c r="L13" s="361" t="e">
        <f>'прогр обесп'!#REF!</f>
        <v>#REF!</v>
      </c>
      <c r="M13" s="361" t="e">
        <f>'прогр обесп'!#REF!</f>
        <v>#REF!</v>
      </c>
      <c r="N13" s="361">
        <f>'прогр обесп'!B10</f>
        <v>17000</v>
      </c>
      <c r="O13" s="358"/>
      <c r="P13" s="358"/>
      <c r="Q13" s="358"/>
      <c r="R13" s="358"/>
      <c r="S13" s="380"/>
      <c r="T13" s="380"/>
      <c r="U13" s="370" t="e">
        <f t="shared" si="0"/>
        <v>#REF!</v>
      </c>
      <c r="V13" s="371">
        <f t="shared" si="3"/>
        <v>80000</v>
      </c>
      <c r="W13" s="387" t="e">
        <f t="shared" si="4"/>
        <v>#REF!</v>
      </c>
    </row>
    <row r="14" spans="1:23" ht="15.75">
      <c r="A14" s="138" t="s">
        <v>30</v>
      </c>
      <c r="B14" s="139"/>
      <c r="C14" s="139"/>
      <c r="D14" s="139"/>
      <c r="E14" s="151"/>
      <c r="F14" s="318">
        <v>140000</v>
      </c>
      <c r="G14" s="319">
        <f t="shared" si="2"/>
        <v>11666.666666666701</v>
      </c>
      <c r="H14" s="322"/>
      <c r="I14" s="360" t="e">
        <f>связь!#REF!</f>
        <v>#REF!</v>
      </c>
      <c r="J14" s="360" t="e">
        <f>связь!#REF!</f>
        <v>#REF!</v>
      </c>
      <c r="K14" s="360" t="e">
        <f>связь!#REF!</f>
        <v>#REF!</v>
      </c>
      <c r="L14" s="360" t="e">
        <f>связь!#REF!</f>
        <v>#REF!</v>
      </c>
      <c r="M14" s="360" t="e">
        <f>связь!#REF!</f>
        <v>#REF!</v>
      </c>
      <c r="N14" s="360">
        <f>связь!B9</f>
        <v>6200</v>
      </c>
      <c r="O14" s="325"/>
      <c r="P14" s="325"/>
      <c r="Q14" s="325"/>
      <c r="R14" s="325"/>
      <c r="S14" s="369"/>
      <c r="T14" s="369"/>
      <c r="U14" s="370" t="e">
        <f t="shared" si="0"/>
        <v>#REF!</v>
      </c>
      <c r="V14" s="371">
        <f t="shared" si="3"/>
        <v>70000</v>
      </c>
      <c r="W14" s="387" t="e">
        <f t="shared" si="4"/>
        <v>#REF!</v>
      </c>
    </row>
    <row r="15" spans="1:23" ht="15.75">
      <c r="A15" s="134" t="s">
        <v>31</v>
      </c>
      <c r="B15" s="135"/>
      <c r="C15" s="135"/>
      <c r="D15" s="135"/>
      <c r="E15" s="152"/>
      <c r="F15" s="330">
        <v>300000</v>
      </c>
      <c r="G15" s="319">
        <f t="shared" si="2"/>
        <v>25000</v>
      </c>
      <c r="H15" s="334"/>
      <c r="I15" s="361" t="e">
        <f>#REF!</f>
        <v>#REF!</v>
      </c>
      <c r="J15" s="361" t="e">
        <f>#REF!</f>
        <v>#REF!</v>
      </c>
      <c r="K15" s="361" t="e">
        <f>#REF!</f>
        <v>#REF!</v>
      </c>
      <c r="L15" s="361" t="e">
        <f>#REF!</f>
        <v>#REF!</v>
      </c>
      <c r="M15" s="361" t="e">
        <f>'прогр обесп'!#REF!</f>
        <v>#REF!</v>
      </c>
      <c r="N15" s="361">
        <f>'прогр обесп'!B12</f>
        <v>0</v>
      </c>
      <c r="O15" s="358"/>
      <c r="P15" s="358"/>
      <c r="Q15" s="358"/>
      <c r="R15" s="358"/>
      <c r="S15" s="380"/>
      <c r="T15" s="380"/>
      <c r="U15" s="370" t="e">
        <f t="shared" si="0"/>
        <v>#REF!</v>
      </c>
      <c r="V15" s="371">
        <f t="shared" si="3"/>
        <v>150000</v>
      </c>
      <c r="W15" s="387" t="e">
        <f t="shared" si="4"/>
        <v>#REF!</v>
      </c>
    </row>
    <row r="16" spans="1:23" ht="15.75">
      <c r="A16" s="134" t="s">
        <v>32</v>
      </c>
      <c r="B16" s="135"/>
      <c r="C16" s="135"/>
      <c r="D16" s="135"/>
      <c r="E16" s="152"/>
      <c r="F16" s="330">
        <v>7890000</v>
      </c>
      <c r="G16" s="319">
        <f t="shared" si="2"/>
        <v>657500</v>
      </c>
      <c r="H16" s="334"/>
      <c r="I16" s="361" t="e">
        <f>'з пл'!#REF!</f>
        <v>#REF!</v>
      </c>
      <c r="J16" s="361" t="e">
        <f>'з пл'!#REF!</f>
        <v>#REF!</v>
      </c>
      <c r="K16" s="361" t="e">
        <f>'з пл'!#REF!</f>
        <v>#REF!</v>
      </c>
      <c r="L16" s="361" t="e">
        <f>'з пл'!#REF!</f>
        <v>#REF!</v>
      </c>
      <c r="M16" s="361" t="e">
        <f>'з пл'!#REF!</f>
        <v>#REF!</v>
      </c>
      <c r="N16" s="361">
        <f>'з пл'!B6</f>
        <v>775673</v>
      </c>
      <c r="O16" s="358"/>
      <c r="P16" s="358"/>
      <c r="Q16" s="358"/>
      <c r="R16" s="358"/>
      <c r="S16" s="380"/>
      <c r="T16" s="380"/>
      <c r="U16" s="370" t="e">
        <f t="shared" si="0"/>
        <v>#REF!</v>
      </c>
      <c r="V16" s="371">
        <f t="shared" si="3"/>
        <v>3945000</v>
      </c>
      <c r="W16" s="387" t="e">
        <f t="shared" si="4"/>
        <v>#REF!</v>
      </c>
    </row>
    <row r="17" spans="1:24" ht="15.75">
      <c r="A17" s="134" t="s">
        <v>33</v>
      </c>
      <c r="B17" s="135"/>
      <c r="C17" s="135"/>
      <c r="D17" s="135"/>
      <c r="E17" s="135"/>
      <c r="F17" s="330">
        <v>500000</v>
      </c>
      <c r="G17" s="319">
        <f t="shared" si="2"/>
        <v>41666.666666666701</v>
      </c>
      <c r="H17" s="334"/>
      <c r="I17" s="361" t="e">
        <f>премии!#REF!</f>
        <v>#REF!</v>
      </c>
      <c r="J17" s="361" t="e">
        <f>премии!#REF!</f>
        <v>#REF!</v>
      </c>
      <c r="K17" s="361" t="e">
        <f>премии!#REF!</f>
        <v>#REF!</v>
      </c>
      <c r="L17" s="361" t="e">
        <f>премии!#REF!</f>
        <v>#REF!</v>
      </c>
      <c r="M17" s="361" t="e">
        <f>премии!#REF!</f>
        <v>#REF!</v>
      </c>
      <c r="N17" s="361">
        <f>премии!B5</f>
        <v>40000</v>
      </c>
      <c r="O17" s="358"/>
      <c r="P17" s="358"/>
      <c r="Q17" s="358"/>
      <c r="R17" s="358"/>
      <c r="S17" s="380"/>
      <c r="T17" s="380"/>
      <c r="U17" s="370" t="e">
        <f t="shared" si="0"/>
        <v>#REF!</v>
      </c>
      <c r="V17" s="371">
        <f t="shared" si="3"/>
        <v>250000</v>
      </c>
      <c r="W17" s="387" t="e">
        <f t="shared" si="4"/>
        <v>#REF!</v>
      </c>
    </row>
    <row r="18" spans="1:24" ht="15.75">
      <c r="A18" s="134" t="s">
        <v>34</v>
      </c>
      <c r="B18" s="135"/>
      <c r="C18" s="135"/>
      <c r="D18" s="135"/>
      <c r="E18" s="135"/>
      <c r="F18" s="330">
        <v>2517000</v>
      </c>
      <c r="G18" s="319">
        <f t="shared" si="2"/>
        <v>209750</v>
      </c>
      <c r="H18" s="334"/>
      <c r="I18" s="361" t="e">
        <f>'налог с ФОТ'!#REF!</f>
        <v>#REF!</v>
      </c>
      <c r="J18" s="361" t="e">
        <f>'налог с ФОТ'!#REF!</f>
        <v>#REF!</v>
      </c>
      <c r="K18" s="361" t="e">
        <f>'налог с ФОТ'!#REF!</f>
        <v>#REF!</v>
      </c>
      <c r="L18" s="361" t="e">
        <f>'налог с ФОТ'!#REF!</f>
        <v>#REF!</v>
      </c>
      <c r="M18" s="361" t="e">
        <f>'налог с ФОТ'!#REF!</f>
        <v>#REF!</v>
      </c>
      <c r="N18" s="361">
        <f>'налог с ФОТ'!B6</f>
        <v>292625.03000000003</v>
      </c>
      <c r="O18" s="358"/>
      <c r="P18" s="358"/>
      <c r="Q18" s="358"/>
      <c r="R18" s="358"/>
      <c r="S18" s="380"/>
      <c r="T18" s="380"/>
      <c r="U18" s="370" t="e">
        <f t="shared" si="0"/>
        <v>#REF!</v>
      </c>
      <c r="V18" s="371">
        <f t="shared" si="3"/>
        <v>1258500</v>
      </c>
      <c r="W18" s="387" t="e">
        <f t="shared" si="4"/>
        <v>#REF!</v>
      </c>
    </row>
    <row r="19" spans="1:24" ht="15.75">
      <c r="A19" s="134" t="s">
        <v>35</v>
      </c>
      <c r="B19" s="135"/>
      <c r="C19" s="135"/>
      <c r="D19" s="135"/>
      <c r="E19" s="135"/>
      <c r="F19" s="330">
        <v>200000</v>
      </c>
      <c r="G19" s="319">
        <f t="shared" si="2"/>
        <v>16666.666666666701</v>
      </c>
      <c r="H19" s="334"/>
      <c r="I19" s="361" t="e">
        <f>#REF!</f>
        <v>#REF!</v>
      </c>
      <c r="J19" s="361" t="e">
        <f>#REF!</f>
        <v>#REF!</v>
      </c>
      <c r="K19" s="361" t="e">
        <f>#REF!</f>
        <v>#REF!</v>
      </c>
      <c r="L19" s="361" t="e">
        <f>#REF!</f>
        <v>#REF!</v>
      </c>
      <c r="M19" s="361" t="e">
        <f>#REF!</f>
        <v>#REF!</v>
      </c>
      <c r="N19" s="361" t="e">
        <f>#REF!</f>
        <v>#REF!</v>
      </c>
      <c r="O19" s="358"/>
      <c r="P19" s="358"/>
      <c r="Q19" s="358"/>
      <c r="R19" s="358"/>
      <c r="S19" s="380"/>
      <c r="T19" s="380"/>
      <c r="U19" s="370" t="e">
        <f t="shared" si="0"/>
        <v>#REF!</v>
      </c>
      <c r="V19" s="371">
        <f t="shared" si="3"/>
        <v>100000</v>
      </c>
      <c r="W19" s="387" t="e">
        <f t="shared" si="4"/>
        <v>#REF!</v>
      </c>
    </row>
    <row r="20" spans="1:24" ht="15.75">
      <c r="A20" s="138" t="s">
        <v>36</v>
      </c>
      <c r="B20" s="139"/>
      <c r="C20" s="139"/>
      <c r="D20" s="139"/>
      <c r="E20" s="139"/>
      <c r="F20" s="318">
        <v>1950000</v>
      </c>
      <c r="G20" s="319">
        <f t="shared" si="2"/>
        <v>162500</v>
      </c>
      <c r="H20" s="322"/>
      <c r="I20" s="360" t="e">
        <f>мусор!#REF!</f>
        <v>#REF!</v>
      </c>
      <c r="J20" s="360" t="e">
        <f>мусор!#REF!</f>
        <v>#REF!</v>
      </c>
      <c r="K20" s="360" t="e">
        <f>мусор!#REF!</f>
        <v>#REF!</v>
      </c>
      <c r="L20" s="360" t="e">
        <f>мусор!#REF!</f>
        <v>#REF!</v>
      </c>
      <c r="M20" s="360" t="e">
        <f>мусор!#REF!</f>
        <v>#REF!</v>
      </c>
      <c r="N20" s="360">
        <f>мусор!B10</f>
        <v>609000</v>
      </c>
      <c r="O20" s="325"/>
      <c r="P20" s="325"/>
      <c r="Q20" s="325"/>
      <c r="R20" s="325"/>
      <c r="S20" s="369"/>
      <c r="T20" s="369"/>
      <c r="U20" s="370" t="e">
        <f t="shared" si="0"/>
        <v>#REF!</v>
      </c>
      <c r="V20" s="371">
        <f t="shared" si="3"/>
        <v>975000</v>
      </c>
      <c r="W20" s="387" t="e">
        <f t="shared" si="4"/>
        <v>#REF!</v>
      </c>
    </row>
    <row r="21" spans="1:24" ht="15.75">
      <c r="A21" s="138" t="s">
        <v>37</v>
      </c>
      <c r="B21" s="139"/>
      <c r="C21" s="139"/>
      <c r="D21" s="139"/>
      <c r="E21" s="151"/>
      <c r="F21" s="318">
        <v>7400000</v>
      </c>
      <c r="G21" s="319">
        <f t="shared" si="2"/>
        <v>616666.66666666698</v>
      </c>
      <c r="H21" s="322"/>
      <c r="I21" s="360" t="e">
        <f>#REF!</f>
        <v>#REF!</v>
      </c>
      <c r="J21" s="360" t="e">
        <f>#REF!</f>
        <v>#REF!</v>
      </c>
      <c r="K21" s="360" t="e">
        <f>#REF!</f>
        <v>#REF!</v>
      </c>
      <c r="L21" s="360" t="e">
        <f>#REF!</f>
        <v>#REF!</v>
      </c>
      <c r="M21" s="360" t="e">
        <f>#REF!</f>
        <v>#REF!</v>
      </c>
      <c r="N21" s="360" t="e">
        <f>#REF!</f>
        <v>#REF!</v>
      </c>
      <c r="O21" s="325"/>
      <c r="P21" s="325"/>
      <c r="Q21" s="325"/>
      <c r="R21" s="325"/>
      <c r="S21" s="369"/>
      <c r="T21" s="369"/>
      <c r="U21" s="370" t="e">
        <f t="shared" si="0"/>
        <v>#REF!</v>
      </c>
      <c r="V21" s="371">
        <f t="shared" si="3"/>
        <v>3700000</v>
      </c>
      <c r="W21" s="387" t="e">
        <f t="shared" si="4"/>
        <v>#REF!</v>
      </c>
    </row>
    <row r="22" spans="1:24" ht="15.75">
      <c r="A22" s="134" t="s">
        <v>38</v>
      </c>
      <c r="B22" s="135"/>
      <c r="C22" s="135"/>
      <c r="D22" s="135"/>
      <c r="E22" s="135"/>
      <c r="F22" s="330">
        <v>230000</v>
      </c>
      <c r="G22" s="319">
        <f t="shared" si="2"/>
        <v>19166.666666666701</v>
      </c>
      <c r="H22" s="334"/>
      <c r="I22" s="361" t="e">
        <f>#REF!</f>
        <v>#REF!</v>
      </c>
      <c r="J22" s="361" t="e">
        <f>#REF!</f>
        <v>#REF!</v>
      </c>
      <c r="K22" s="361" t="e">
        <f>#REF!</f>
        <v>#REF!</v>
      </c>
      <c r="L22" s="361" t="e">
        <f>#REF!</f>
        <v>#REF!</v>
      </c>
      <c r="M22" s="361" t="e">
        <f>#REF!</f>
        <v>#REF!</v>
      </c>
      <c r="N22" s="361" t="e">
        <f>#REF!</f>
        <v>#REF!</v>
      </c>
      <c r="O22" s="358"/>
      <c r="P22" s="358"/>
      <c r="Q22" s="358"/>
      <c r="R22" s="358"/>
      <c r="S22" s="380"/>
      <c r="T22" s="380"/>
      <c r="U22" s="370" t="e">
        <f t="shared" si="0"/>
        <v>#REF!</v>
      </c>
      <c r="V22" s="371">
        <f t="shared" si="3"/>
        <v>115000</v>
      </c>
      <c r="W22" s="387" t="e">
        <f t="shared" si="4"/>
        <v>#REF!</v>
      </c>
    </row>
    <row r="23" spans="1:24" ht="15.75">
      <c r="A23" s="138" t="s">
        <v>39</v>
      </c>
      <c r="B23" s="139"/>
      <c r="C23" s="139"/>
      <c r="D23" s="139"/>
      <c r="E23" s="139"/>
      <c r="F23" s="318">
        <v>1240000</v>
      </c>
      <c r="G23" s="319">
        <f t="shared" si="2"/>
        <v>103333.33333333299</v>
      </c>
      <c r="H23" s="322"/>
      <c r="I23" s="360" t="e">
        <f>вода!#REF!</f>
        <v>#REF!</v>
      </c>
      <c r="J23" s="360" t="e">
        <f>вода!#REF!</f>
        <v>#REF!</v>
      </c>
      <c r="K23" s="360" t="e">
        <f>вода!#REF!</f>
        <v>#REF!</v>
      </c>
      <c r="L23" s="360" t="e">
        <f>вода!#REF!</f>
        <v>#REF!</v>
      </c>
      <c r="M23" s="360" t="e">
        <f>вода!#REF!</f>
        <v>#REF!</v>
      </c>
      <c r="N23" s="360">
        <f>вода!B36</f>
        <v>32764.799999999999</v>
      </c>
      <c r="O23" s="325"/>
      <c r="P23" s="325"/>
      <c r="Q23" s="325"/>
      <c r="R23" s="325"/>
      <c r="S23" s="369"/>
      <c r="T23" s="369"/>
      <c r="U23" s="370" t="e">
        <f t="shared" si="0"/>
        <v>#REF!</v>
      </c>
      <c r="V23" s="371">
        <f t="shared" si="3"/>
        <v>620000</v>
      </c>
      <c r="W23" s="387" t="e">
        <f t="shared" si="4"/>
        <v>#REF!</v>
      </c>
    </row>
    <row r="24" spans="1:24" ht="15.75">
      <c r="A24" s="138" t="s">
        <v>40</v>
      </c>
      <c r="B24" s="139"/>
      <c r="C24" s="139"/>
      <c r="D24" s="139"/>
      <c r="E24" s="139"/>
      <c r="F24" s="318">
        <f>250000+480000</f>
        <v>730000</v>
      </c>
      <c r="G24" s="319">
        <f t="shared" si="2"/>
        <v>60833.333333333299</v>
      </c>
      <c r="H24" s="322"/>
      <c r="I24" s="360" t="e">
        <f>#REF!</f>
        <v>#REF!</v>
      </c>
      <c r="J24" s="360" t="e">
        <f>#REF!</f>
        <v>#REF!</v>
      </c>
      <c r="K24" s="360" t="e">
        <f>#REF!</f>
        <v>#REF!</v>
      </c>
      <c r="L24" s="360" t="e">
        <f>#REF!</f>
        <v>#REF!</v>
      </c>
      <c r="M24" s="360" t="e">
        <f>#REF!</f>
        <v>#REF!</v>
      </c>
      <c r="N24" s="360" t="e">
        <f>#REF!</f>
        <v>#REF!</v>
      </c>
      <c r="O24" s="325"/>
      <c r="P24" s="325"/>
      <c r="Q24" s="325"/>
      <c r="R24" s="325"/>
      <c r="S24" s="369"/>
      <c r="T24" s="369"/>
      <c r="U24" s="370" t="e">
        <f t="shared" si="0"/>
        <v>#REF!</v>
      </c>
      <c r="V24" s="371">
        <f t="shared" si="3"/>
        <v>365000</v>
      </c>
      <c r="W24" s="387" t="e">
        <f t="shared" si="4"/>
        <v>#REF!</v>
      </c>
    </row>
    <row r="25" spans="1:24" ht="15.75">
      <c r="A25" s="138" t="s">
        <v>41</v>
      </c>
      <c r="B25" s="139"/>
      <c r="C25" s="139"/>
      <c r="D25" s="139"/>
      <c r="E25" s="139"/>
      <c r="F25" s="318">
        <v>250000</v>
      </c>
      <c r="G25" s="319">
        <f t="shared" si="2"/>
        <v>20833.333333333299</v>
      </c>
      <c r="H25" s="322"/>
      <c r="I25" s="360" t="e">
        <f>#REF!</f>
        <v>#REF!</v>
      </c>
      <c r="J25" s="360" t="e">
        <f>#REF!</f>
        <v>#REF!</v>
      </c>
      <c r="K25" s="360" t="e">
        <f>#REF!</f>
        <v>#REF!</v>
      </c>
      <c r="L25" s="360" t="e">
        <f>#REF!</f>
        <v>#REF!</v>
      </c>
      <c r="M25" s="360" t="e">
        <f>#REF!</f>
        <v>#REF!</v>
      </c>
      <c r="N25" s="360" t="e">
        <f>#REF!</f>
        <v>#REF!</v>
      </c>
      <c r="O25" s="325"/>
      <c r="P25" s="325"/>
      <c r="Q25" s="325"/>
      <c r="R25" s="325"/>
      <c r="S25" s="369"/>
      <c r="T25" s="369"/>
      <c r="U25" s="370" t="e">
        <f t="shared" si="0"/>
        <v>#REF!</v>
      </c>
      <c r="V25" s="371">
        <f t="shared" si="3"/>
        <v>125000</v>
      </c>
      <c r="W25" s="387" t="e">
        <f t="shared" si="4"/>
        <v>#REF!</v>
      </c>
    </row>
    <row r="26" spans="1:24" ht="15.75">
      <c r="A26" s="138" t="s">
        <v>42</v>
      </c>
      <c r="B26" s="139"/>
      <c r="C26" s="139"/>
      <c r="D26" s="139"/>
      <c r="E26" s="139"/>
      <c r="F26" s="318">
        <v>1800000</v>
      </c>
      <c r="G26" s="319">
        <f t="shared" si="2"/>
        <v>150000</v>
      </c>
      <c r="H26" s="322"/>
      <c r="I26" s="360" t="e">
        <f>эл.снабж!#REF!</f>
        <v>#REF!</v>
      </c>
      <c r="J26" s="360" t="e">
        <f>эл.снабж!#REF!</f>
        <v>#REF!</v>
      </c>
      <c r="K26" s="360" t="e">
        <f>эл.снабж!#REF!</f>
        <v>#REF!</v>
      </c>
      <c r="L26" s="360" t="e">
        <f>эл.снабж!#REF!</f>
        <v>#REF!</v>
      </c>
      <c r="M26" s="360" t="e">
        <f>эл.снабж!#REF!</f>
        <v>#REF!</v>
      </c>
      <c r="N26" s="360">
        <f>эл.снабж!B77</f>
        <v>232766.64</v>
      </c>
      <c r="O26" s="325"/>
      <c r="P26" s="325"/>
      <c r="Q26" s="325"/>
      <c r="R26" s="325"/>
      <c r="S26" s="369"/>
      <c r="T26" s="369"/>
      <c r="U26" s="370" t="e">
        <f t="shared" si="0"/>
        <v>#REF!</v>
      </c>
      <c r="V26" s="371">
        <f t="shared" si="3"/>
        <v>900000</v>
      </c>
      <c r="W26" s="387" t="e">
        <f t="shared" si="4"/>
        <v>#REF!</v>
      </c>
    </row>
    <row r="27" spans="1:24" ht="15.75">
      <c r="A27" s="138" t="s">
        <v>43</v>
      </c>
      <c r="B27" s="139"/>
      <c r="C27" s="139"/>
      <c r="D27" s="139"/>
      <c r="E27" s="139"/>
      <c r="F27" s="318">
        <v>1700000</v>
      </c>
      <c r="G27" s="319">
        <f t="shared" si="2"/>
        <v>141666.66666666701</v>
      </c>
      <c r="H27" s="322"/>
      <c r="I27" s="360" t="e">
        <f>#REF!</f>
        <v>#REF!</v>
      </c>
      <c r="J27" s="360" t="e">
        <f>#REF!</f>
        <v>#REF!</v>
      </c>
      <c r="K27" s="360" t="e">
        <f>#REF!</f>
        <v>#REF!</v>
      </c>
      <c r="L27" s="360" t="e">
        <f>#REF!</f>
        <v>#REF!</v>
      </c>
      <c r="M27" s="360" t="e">
        <f>#REF!</f>
        <v>#REF!</v>
      </c>
      <c r="N27" s="360" t="e">
        <f>#REF!</f>
        <v>#REF!</v>
      </c>
      <c r="O27" s="325"/>
      <c r="P27" s="325"/>
      <c r="Q27" s="325"/>
      <c r="R27" s="325"/>
      <c r="S27" s="369"/>
      <c r="T27" s="369"/>
      <c r="U27" s="370" t="e">
        <f t="shared" si="0"/>
        <v>#REF!</v>
      </c>
      <c r="V27" s="371">
        <f t="shared" si="3"/>
        <v>850000</v>
      </c>
      <c r="W27" s="387" t="e">
        <f t="shared" si="4"/>
        <v>#REF!</v>
      </c>
    </row>
    <row r="28" spans="1:24" ht="15.75">
      <c r="A28" s="138" t="s">
        <v>44</v>
      </c>
      <c r="B28" s="139"/>
      <c r="C28" s="139"/>
      <c r="D28" s="139"/>
      <c r="E28" s="139"/>
      <c r="F28" s="318">
        <v>600000</v>
      </c>
      <c r="G28" s="319">
        <f t="shared" si="2"/>
        <v>50000</v>
      </c>
      <c r="H28" s="322"/>
      <c r="I28" s="360" t="e">
        <f>'спец авто транспорт'!#REF!</f>
        <v>#REF!</v>
      </c>
      <c r="J28" s="360" t="e">
        <f>'спец авто транспорт'!#REF!</f>
        <v>#REF!</v>
      </c>
      <c r="K28" s="360" t="e">
        <f>'спец авто транспорт'!#REF!</f>
        <v>#REF!</v>
      </c>
      <c r="L28" s="360" t="e">
        <f>'спец авто транспорт'!#REF!</f>
        <v>#REF!</v>
      </c>
      <c r="M28" s="360" t="e">
        <f>'спец авто транспорт'!#REF!</f>
        <v>#REF!</v>
      </c>
      <c r="N28" s="360">
        <f>'спец авто транспорт'!B47</f>
        <v>55368</v>
      </c>
      <c r="O28" s="325"/>
      <c r="P28" s="325"/>
      <c r="Q28" s="325"/>
      <c r="R28" s="325"/>
      <c r="S28" s="369"/>
      <c r="T28" s="369"/>
      <c r="U28" s="370" t="e">
        <f t="shared" si="0"/>
        <v>#REF!</v>
      </c>
      <c r="V28" s="371">
        <f t="shared" si="3"/>
        <v>300000</v>
      </c>
      <c r="W28" s="387" t="e">
        <f t="shared" si="4"/>
        <v>#REF!</v>
      </c>
    </row>
    <row r="29" spans="1:24" ht="15.75">
      <c r="A29" s="138" t="s">
        <v>45</v>
      </c>
      <c r="B29" s="139"/>
      <c r="C29" s="139"/>
      <c r="D29" s="139"/>
      <c r="E29" s="139"/>
      <c r="F29" s="318">
        <v>250000</v>
      </c>
      <c r="G29" s="319">
        <f t="shared" si="2"/>
        <v>20833.333333333299</v>
      </c>
      <c r="H29" s="322"/>
      <c r="I29" s="360" t="e">
        <f>'благ-во'!#REF!</f>
        <v>#REF!</v>
      </c>
      <c r="J29" s="360" t="e">
        <f>'благ-во'!#REF!</f>
        <v>#REF!</v>
      </c>
      <c r="K29" s="360" t="e">
        <f>'благ-во'!#REF!</f>
        <v>#REF!</v>
      </c>
      <c r="L29" s="360" t="e">
        <f>'благ-во'!#REF!</f>
        <v>#REF!</v>
      </c>
      <c r="M29" s="360" t="e">
        <f>'благ-во'!#REF!</f>
        <v>#REF!</v>
      </c>
      <c r="N29" s="360">
        <f>'благ-во'!B62</f>
        <v>82340</v>
      </c>
      <c r="O29" s="325"/>
      <c r="P29" s="325"/>
      <c r="Q29" s="325"/>
      <c r="R29" s="325"/>
      <c r="S29" s="369"/>
      <c r="T29" s="369"/>
      <c r="U29" s="370" t="e">
        <f t="shared" si="0"/>
        <v>#REF!</v>
      </c>
      <c r="V29" s="371">
        <f t="shared" si="3"/>
        <v>125000</v>
      </c>
      <c r="W29" s="387" t="e">
        <f t="shared" si="4"/>
        <v>#REF!</v>
      </c>
    </row>
    <row r="30" spans="1:24" ht="15.75">
      <c r="A30" s="138" t="s">
        <v>46</v>
      </c>
      <c r="B30" s="139"/>
      <c r="C30" s="139"/>
      <c r="D30" s="139"/>
      <c r="E30" s="139"/>
      <c r="F30" s="318">
        <v>719200</v>
      </c>
      <c r="G30" s="319">
        <f t="shared" si="2"/>
        <v>59933.333333333299</v>
      </c>
      <c r="H30" s="322"/>
      <c r="I30" s="360" t="e">
        <f>#REF!</f>
        <v>#REF!</v>
      </c>
      <c r="J30" s="360" t="e">
        <f>#REF!</f>
        <v>#REF!</v>
      </c>
      <c r="K30" s="360" t="e">
        <f>#REF!</f>
        <v>#REF!</v>
      </c>
      <c r="L30" s="360" t="e">
        <f>#REF!</f>
        <v>#REF!</v>
      </c>
      <c r="M30" s="360" t="e">
        <f>#REF!</f>
        <v>#REF!</v>
      </c>
      <c r="N30" s="360" t="e">
        <f>#REF!</f>
        <v>#REF!</v>
      </c>
      <c r="O30" s="325"/>
      <c r="P30" s="325"/>
      <c r="Q30" s="325"/>
      <c r="R30" s="325"/>
      <c r="S30" s="369"/>
      <c r="T30" s="369"/>
      <c r="U30" s="370" t="e">
        <f t="shared" si="0"/>
        <v>#REF!</v>
      </c>
      <c r="V30" s="371">
        <f t="shared" si="3"/>
        <v>359600</v>
      </c>
      <c r="W30" s="387" t="e">
        <f t="shared" si="4"/>
        <v>#REF!</v>
      </c>
    </row>
    <row r="31" spans="1:24" ht="15.75">
      <c r="A31" s="335" t="s">
        <v>47</v>
      </c>
      <c r="B31" s="336"/>
      <c r="C31" s="336"/>
      <c r="D31" s="336"/>
      <c r="E31" s="336"/>
      <c r="F31" s="337">
        <v>1473800</v>
      </c>
      <c r="G31" s="338">
        <f t="shared" si="2"/>
        <v>122816.66666666701</v>
      </c>
      <c r="H31" s="326"/>
      <c r="I31" s="362" t="e">
        <f>'рез фонд'!#REF!</f>
        <v>#REF!</v>
      </c>
      <c r="J31" s="362" t="e">
        <f>'рез фонд'!#REF!</f>
        <v>#REF!</v>
      </c>
      <c r="K31" s="362" t="e">
        <f>'рез фонд'!#REF!</f>
        <v>#REF!</v>
      </c>
      <c r="L31" s="362" t="e">
        <f>'рез фонд'!#REF!</f>
        <v>#REF!</v>
      </c>
      <c r="M31" s="362" t="e">
        <f>'рез фонд'!#REF!</f>
        <v>#REF!</v>
      </c>
      <c r="N31" s="362">
        <f>'рез фонд'!B55</f>
        <v>110432</v>
      </c>
      <c r="O31" s="363"/>
      <c r="P31" s="363"/>
      <c r="Q31" s="363"/>
      <c r="R31" s="363"/>
      <c r="S31" s="388"/>
      <c r="T31" s="388"/>
      <c r="U31" s="377" t="e">
        <f t="shared" si="0"/>
        <v>#REF!</v>
      </c>
      <c r="V31" s="371">
        <f t="shared" si="3"/>
        <v>736900</v>
      </c>
      <c r="W31" s="389" t="e">
        <f t="shared" si="4"/>
        <v>#REF!</v>
      </c>
      <c r="X31" s="131"/>
    </row>
    <row r="32" spans="1:24" ht="15.75">
      <c r="A32" s="407" t="s">
        <v>48</v>
      </c>
      <c r="B32" s="408"/>
      <c r="C32" s="408"/>
      <c r="D32" s="408"/>
      <c r="E32" s="409"/>
      <c r="F32" s="330">
        <f>SUM(F12:F31)</f>
        <v>30950000</v>
      </c>
      <c r="G32" s="331">
        <f>SUM(G12:G31)</f>
        <v>2579166.6666666698</v>
      </c>
      <c r="H32" s="334"/>
      <c r="I32" s="364" t="e">
        <f>SUM(I12:I31)</f>
        <v>#REF!</v>
      </c>
      <c r="J32" s="364" t="e">
        <f>SUM(J12:J31)</f>
        <v>#REF!</v>
      </c>
      <c r="K32" s="364" t="e">
        <f t="shared" ref="K32:U32" si="5">SUM(K12:K31)</f>
        <v>#REF!</v>
      </c>
      <c r="L32" s="365" t="e">
        <f t="shared" si="5"/>
        <v>#REF!</v>
      </c>
      <c r="M32" s="366" t="e">
        <f t="shared" si="5"/>
        <v>#REF!</v>
      </c>
      <c r="N32" s="366" t="e">
        <f t="shared" si="5"/>
        <v>#REF!</v>
      </c>
      <c r="O32" s="358">
        <f t="shared" si="5"/>
        <v>0</v>
      </c>
      <c r="P32" s="358">
        <f t="shared" si="5"/>
        <v>0</v>
      </c>
      <c r="Q32" s="358">
        <f t="shared" si="5"/>
        <v>0</v>
      </c>
      <c r="R32" s="358">
        <f t="shared" si="5"/>
        <v>0</v>
      </c>
      <c r="S32" s="380">
        <f t="shared" si="5"/>
        <v>0</v>
      </c>
      <c r="T32" s="380">
        <f t="shared" si="5"/>
        <v>0</v>
      </c>
      <c r="U32" s="381" t="e">
        <f t="shared" si="5"/>
        <v>#REF!</v>
      </c>
      <c r="V32" s="371">
        <f>G32*5</f>
        <v>12895833.3333333</v>
      </c>
      <c r="W32" s="390" t="e">
        <f>SUM(W12:W31)</f>
        <v>#REF!</v>
      </c>
    </row>
    <row r="34" spans="1:23">
      <c r="A34" s="410" t="s">
        <v>49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340"/>
      <c r="W34" s="340"/>
    </row>
    <row r="35" spans="1:23">
      <c r="A35" s="414" t="s">
        <v>50</v>
      </c>
      <c r="B35" s="415"/>
      <c r="C35" s="415"/>
      <c r="D35" s="415"/>
      <c r="E35" s="415"/>
      <c r="F35" s="416"/>
      <c r="G35" s="416"/>
      <c r="H35" s="415"/>
      <c r="I35" s="416"/>
      <c r="J35" s="416"/>
      <c r="K35" s="416"/>
      <c r="L35" s="415"/>
      <c r="M35" s="367"/>
      <c r="N35" s="367"/>
      <c r="O35" s="367"/>
      <c r="P35" s="367"/>
      <c r="Q35" s="367"/>
      <c r="R35" s="367"/>
      <c r="S35" s="367"/>
      <c r="T35" s="367"/>
      <c r="U35" s="391"/>
      <c r="V35" s="340"/>
      <c r="W35" s="340"/>
    </row>
    <row r="36" spans="1:23">
      <c r="A36" s="417" t="s">
        <v>51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9"/>
      <c r="V36" s="340"/>
      <c r="W36" s="340"/>
    </row>
    <row r="37" spans="1:23">
      <c r="A37" s="339"/>
      <c r="B37" s="339"/>
      <c r="C37" s="339"/>
      <c r="D37" s="339"/>
      <c r="E37" s="339"/>
      <c r="F37" s="340"/>
      <c r="G37" s="340"/>
      <c r="H37" s="339"/>
      <c r="I37" s="340"/>
      <c r="J37" s="340"/>
      <c r="K37" s="340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40"/>
      <c r="W37" s="340"/>
    </row>
    <row r="38" spans="1:23">
      <c r="A38" s="420"/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2"/>
      <c r="V38" s="340"/>
      <c r="W38" s="340"/>
    </row>
    <row r="39" spans="1:23">
      <c r="A39" s="392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4"/>
      <c r="V39" s="340"/>
      <c r="W39" s="340"/>
    </row>
    <row r="40" spans="1:23">
      <c r="A40" s="339"/>
      <c r="B40" s="339"/>
      <c r="C40" s="339"/>
      <c r="D40" s="339"/>
      <c r="E40" s="339"/>
      <c r="F40" s="340"/>
      <c r="G40" s="340"/>
      <c r="H40" s="339"/>
      <c r="I40" s="340"/>
      <c r="J40" s="340"/>
      <c r="K40" s="340"/>
      <c r="L40" s="339"/>
      <c r="M40" s="339"/>
      <c r="N40" s="339"/>
      <c r="O40" s="339"/>
      <c r="P40" s="339"/>
      <c r="Q40" s="339"/>
      <c r="R40" s="339"/>
      <c r="S40" s="339"/>
      <c r="T40" s="339"/>
      <c r="U40" s="340"/>
      <c r="V40" s="340"/>
      <c r="W40" s="340"/>
    </row>
    <row r="41" spans="1:23">
      <c r="A41" s="339"/>
      <c r="B41" s="339"/>
      <c r="C41" s="339"/>
      <c r="D41" s="339"/>
      <c r="E41" s="339"/>
      <c r="F41" s="340"/>
      <c r="G41" s="340"/>
      <c r="H41" s="339"/>
      <c r="I41" s="340"/>
      <c r="J41" s="340"/>
      <c r="K41" s="340"/>
      <c r="L41" s="339"/>
      <c r="M41" s="339"/>
      <c r="N41" s="339"/>
      <c r="O41" s="339"/>
      <c r="P41" s="339"/>
      <c r="Q41" s="339"/>
      <c r="R41" s="339"/>
      <c r="S41" s="339"/>
      <c r="T41" s="339"/>
      <c r="U41" s="340"/>
      <c r="V41" s="340"/>
      <c r="W41" s="340"/>
    </row>
    <row r="42" spans="1:23">
      <c r="A42" s="339"/>
      <c r="B42" s="339"/>
      <c r="C42" s="339"/>
      <c r="D42" s="339"/>
      <c r="E42" s="339"/>
      <c r="F42" s="340"/>
      <c r="G42" s="340"/>
      <c r="H42" s="339"/>
      <c r="I42" s="340"/>
      <c r="J42" s="340"/>
      <c r="K42" s="340"/>
      <c r="L42" s="339"/>
      <c r="M42" s="339"/>
      <c r="N42" s="339"/>
      <c r="O42" s="339"/>
      <c r="P42" s="339"/>
      <c r="Q42" s="339"/>
      <c r="R42" s="339"/>
      <c r="S42" s="339"/>
      <c r="T42" s="339"/>
      <c r="U42" s="340"/>
      <c r="V42" s="340"/>
      <c r="W42" s="340"/>
    </row>
    <row r="43" spans="1:23">
      <c r="A43" s="339"/>
      <c r="B43" s="339"/>
      <c r="C43" s="339"/>
      <c r="D43" s="339"/>
      <c r="E43" s="339"/>
      <c r="F43" s="340"/>
      <c r="G43" s="340"/>
      <c r="H43" s="339"/>
      <c r="I43" s="340"/>
      <c r="J43" s="340"/>
      <c r="K43" s="340"/>
      <c r="L43" s="339"/>
      <c r="M43" s="339"/>
      <c r="N43" s="339"/>
      <c r="O43" s="339"/>
      <c r="P43" s="339"/>
      <c r="Q43" s="339"/>
      <c r="R43" s="339"/>
      <c r="S43" s="339"/>
      <c r="T43" s="339"/>
      <c r="U43" s="340"/>
      <c r="V43" s="340"/>
      <c r="W43" s="340"/>
    </row>
    <row r="44" spans="1:23">
      <c r="A44" s="339"/>
      <c r="B44" s="339"/>
      <c r="C44" s="339"/>
      <c r="D44" s="339"/>
      <c r="E44" s="339"/>
      <c r="F44" s="340"/>
      <c r="G44" s="340"/>
      <c r="H44" s="339"/>
      <c r="I44" s="340"/>
      <c r="J44" s="340"/>
      <c r="K44" s="340"/>
      <c r="L44" s="339"/>
      <c r="M44" s="339"/>
      <c r="N44" s="339"/>
      <c r="O44" s="339"/>
      <c r="P44" s="339"/>
      <c r="Q44" s="339"/>
      <c r="R44" s="339"/>
      <c r="S44" s="339"/>
      <c r="T44" s="339"/>
      <c r="U44" s="340"/>
      <c r="V44" s="340"/>
      <c r="W44" s="340"/>
    </row>
    <row r="45" spans="1:23">
      <c r="A45" s="339"/>
      <c r="B45" s="339"/>
      <c r="C45" s="339"/>
      <c r="D45" s="339"/>
      <c r="E45" s="339"/>
      <c r="F45" s="340"/>
      <c r="G45" s="340"/>
      <c r="H45" s="339"/>
      <c r="I45" s="340"/>
      <c r="J45" s="340"/>
      <c r="K45" s="340"/>
      <c r="L45" s="339"/>
      <c r="M45" s="339"/>
      <c r="N45" s="339"/>
      <c r="O45" s="339"/>
      <c r="P45" s="339"/>
      <c r="Q45" s="339"/>
      <c r="R45" s="339"/>
      <c r="S45" s="339"/>
      <c r="T45" s="339"/>
      <c r="U45" s="340"/>
      <c r="V45" s="340"/>
      <c r="W45" s="340"/>
    </row>
    <row r="46" spans="1:23">
      <c r="A46" s="339"/>
      <c r="B46" s="339"/>
      <c r="C46" s="339"/>
      <c r="D46" s="339"/>
      <c r="E46" s="339"/>
      <c r="F46" s="340"/>
      <c r="G46" s="340"/>
      <c r="H46" s="339"/>
      <c r="I46" s="340"/>
      <c r="J46" s="340"/>
      <c r="K46" s="340"/>
      <c r="L46" s="339"/>
      <c r="M46" s="339"/>
      <c r="N46" s="339"/>
      <c r="O46" s="339"/>
      <c r="P46" s="339"/>
      <c r="Q46" s="339"/>
      <c r="R46" s="339"/>
      <c r="S46" s="339"/>
      <c r="T46" s="339"/>
      <c r="U46" s="340"/>
      <c r="V46" s="340"/>
      <c r="W46" s="340"/>
    </row>
    <row r="47" spans="1:23">
      <c r="A47" s="339"/>
      <c r="B47" s="339"/>
      <c r="C47" s="339"/>
      <c r="D47" s="339"/>
      <c r="E47" s="339"/>
      <c r="F47" s="340"/>
      <c r="G47" s="340"/>
      <c r="H47" s="339"/>
      <c r="I47" s="340"/>
      <c r="J47" s="340"/>
      <c r="K47" s="340"/>
      <c r="L47" s="339"/>
      <c r="M47" s="339"/>
      <c r="N47" s="339"/>
      <c r="O47" s="339"/>
      <c r="P47" s="339"/>
      <c r="Q47" s="339"/>
      <c r="R47" s="339"/>
      <c r="S47" s="339"/>
      <c r="T47" s="339"/>
      <c r="U47" s="340"/>
      <c r="V47" s="340"/>
      <c r="W47" s="340"/>
    </row>
    <row r="48" spans="1:23">
      <c r="A48" s="339"/>
      <c r="B48" s="339"/>
      <c r="C48" s="339"/>
      <c r="D48" s="339"/>
      <c r="E48" s="339"/>
      <c r="F48" s="340"/>
      <c r="G48" s="340"/>
      <c r="H48" s="339"/>
      <c r="I48" s="340"/>
      <c r="J48" s="340"/>
      <c r="K48" s="340"/>
      <c r="L48" s="339"/>
      <c r="M48" s="339"/>
      <c r="N48" s="339"/>
      <c r="O48" s="339"/>
      <c r="P48" s="339"/>
      <c r="Q48" s="339"/>
      <c r="R48" s="339"/>
      <c r="S48" s="339"/>
      <c r="T48" s="339"/>
      <c r="U48" s="340"/>
      <c r="V48" s="340"/>
      <c r="W48" s="340"/>
    </row>
    <row r="49" spans="1:23">
      <c r="A49" s="339"/>
      <c r="B49" s="339"/>
      <c r="C49" s="339"/>
      <c r="D49" s="339"/>
      <c r="E49" s="339"/>
      <c r="F49" s="340"/>
      <c r="G49" s="340"/>
      <c r="H49" s="339"/>
      <c r="I49" s="340"/>
      <c r="J49" s="340"/>
      <c r="K49" s="340"/>
      <c r="L49" s="339"/>
      <c r="M49" s="339"/>
      <c r="N49" s="339"/>
      <c r="O49" s="339"/>
      <c r="P49" s="339"/>
      <c r="Q49" s="339"/>
      <c r="R49" s="339"/>
      <c r="S49" s="339"/>
      <c r="T49" s="339"/>
      <c r="U49" s="340"/>
      <c r="V49" s="340"/>
      <c r="W49" s="340"/>
    </row>
    <row r="50" spans="1:23">
      <c r="A50" s="339"/>
      <c r="B50" s="339"/>
      <c r="C50" s="339"/>
      <c r="D50" s="339"/>
      <c r="E50" s="339"/>
      <c r="F50" s="340"/>
      <c r="G50" s="340"/>
      <c r="H50" s="339"/>
      <c r="I50" s="340"/>
      <c r="J50" s="340"/>
      <c r="K50" s="340"/>
      <c r="L50" s="339"/>
      <c r="M50" s="339"/>
      <c r="N50" s="339"/>
      <c r="O50" s="339"/>
      <c r="P50" s="339"/>
      <c r="Q50" s="339"/>
      <c r="R50" s="339"/>
      <c r="S50" s="339"/>
      <c r="T50" s="339"/>
      <c r="U50" s="340"/>
      <c r="V50" s="340"/>
      <c r="W50" s="340"/>
    </row>
    <row r="51" spans="1:23">
      <c r="A51" s="339"/>
      <c r="B51" s="339"/>
      <c r="C51" s="339"/>
      <c r="D51" s="339"/>
      <c r="E51" s="339"/>
      <c r="F51" s="340"/>
      <c r="G51" s="340"/>
      <c r="H51" s="339"/>
      <c r="I51" s="340"/>
      <c r="J51" s="340"/>
      <c r="K51" s="340"/>
      <c r="L51" s="339"/>
      <c r="M51" s="339"/>
      <c r="N51" s="339"/>
      <c r="O51" s="339"/>
      <c r="P51" s="339"/>
      <c r="Q51" s="339"/>
      <c r="R51" s="339"/>
      <c r="S51" s="339"/>
      <c r="T51" s="339"/>
      <c r="U51" s="340"/>
      <c r="V51" s="340"/>
      <c r="W51" s="340"/>
    </row>
    <row r="52" spans="1:23">
      <c r="A52" s="339"/>
      <c r="B52" s="339"/>
      <c r="C52" s="339"/>
      <c r="D52" s="339"/>
      <c r="E52" s="339"/>
      <c r="F52" s="340"/>
      <c r="G52" s="340"/>
      <c r="H52" s="339"/>
      <c r="I52" s="340"/>
      <c r="J52" s="340"/>
      <c r="K52" s="340"/>
      <c r="L52" s="339"/>
      <c r="M52" s="339"/>
      <c r="N52" s="339"/>
      <c r="O52" s="339"/>
      <c r="P52" s="339"/>
      <c r="Q52" s="339"/>
      <c r="R52" s="339"/>
      <c r="S52" s="339"/>
      <c r="T52" s="339"/>
      <c r="U52" s="340"/>
      <c r="V52" s="340"/>
      <c r="W52" s="340"/>
    </row>
    <row r="53" spans="1:23">
      <c r="A53" s="339"/>
      <c r="B53" s="339"/>
      <c r="C53" s="339"/>
      <c r="D53" s="339"/>
      <c r="E53" s="339"/>
      <c r="F53" s="340"/>
      <c r="G53" s="340"/>
      <c r="H53" s="339"/>
      <c r="I53" s="340"/>
      <c r="J53" s="340"/>
      <c r="K53" s="340"/>
      <c r="L53" s="339"/>
      <c r="M53" s="339"/>
      <c r="N53" s="339"/>
      <c r="O53" s="339"/>
      <c r="P53" s="339"/>
      <c r="Q53" s="339"/>
      <c r="R53" s="339"/>
      <c r="S53" s="339"/>
      <c r="T53" s="339"/>
      <c r="U53" s="340"/>
      <c r="V53" s="340"/>
      <c r="W53" s="340"/>
    </row>
    <row r="54" spans="1:23">
      <c r="A54" s="339"/>
      <c r="B54" s="339"/>
      <c r="C54" s="339"/>
      <c r="D54" s="339"/>
      <c r="E54" s="339"/>
      <c r="F54" s="340"/>
      <c r="G54" s="340"/>
      <c r="H54" s="339"/>
      <c r="I54" s="340"/>
      <c r="J54" s="340"/>
      <c r="K54" s="340"/>
      <c r="L54" s="339"/>
      <c r="M54" s="339"/>
      <c r="N54" s="339"/>
      <c r="O54" s="339"/>
      <c r="P54" s="339"/>
      <c r="Q54" s="339"/>
      <c r="R54" s="339"/>
      <c r="S54" s="339"/>
      <c r="T54" s="339"/>
      <c r="U54" s="340"/>
      <c r="V54" s="340"/>
      <c r="W54" s="340"/>
    </row>
    <row r="55" spans="1:23">
      <c r="I55" s="340"/>
    </row>
  </sheetData>
  <mergeCells count="18">
    <mergeCell ref="V3:V4"/>
    <mergeCell ref="W3:W4"/>
    <mergeCell ref="A35:L35"/>
    <mergeCell ref="A36:U36"/>
    <mergeCell ref="A38:U38"/>
    <mergeCell ref="A39:U39"/>
    <mergeCell ref="F3:F4"/>
    <mergeCell ref="G3:G4"/>
    <mergeCell ref="I3:I4"/>
    <mergeCell ref="J3:J4"/>
    <mergeCell ref="K3:K4"/>
    <mergeCell ref="L3:L4"/>
    <mergeCell ref="U3:U4"/>
    <mergeCell ref="A3:E3"/>
    <mergeCell ref="A10:E10"/>
    <mergeCell ref="A11:E11"/>
    <mergeCell ref="A32:E32"/>
    <mergeCell ref="A34:U34"/>
  </mergeCells>
  <pageMargins left="0.70866141732283505" right="0.70866141732283505" top="0" bottom="0" header="0" footer="0"/>
  <pageSetup paperSize="9" scale="91" firstPageNumber="4294967295" orientation="landscape" useFirstPageNumber="1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77"/>
  <sheetViews>
    <sheetView tabSelected="1" view="pageBreakPreview" topLeftCell="A10" zoomScaleNormal="100" workbookViewId="0">
      <selection activeCell="N21" sqref="N21"/>
    </sheetView>
  </sheetViews>
  <sheetFormatPr defaultColWidth="9.140625" defaultRowHeight="15"/>
  <cols>
    <col min="1" max="1" width="37.28515625" style="178" customWidth="1"/>
    <col min="2" max="2" width="14.7109375" style="179" customWidth="1"/>
    <col min="3" max="3" width="13.5703125" style="179" customWidth="1"/>
    <col min="4" max="4" width="13.7109375" style="180" customWidth="1"/>
    <col min="5" max="6" width="14.140625" style="180" customWidth="1"/>
    <col min="7" max="7" width="13.7109375" style="180" customWidth="1"/>
    <col min="8" max="8" width="14.5703125" style="180" customWidth="1"/>
    <col min="9" max="11" width="16.28515625" style="180" customWidth="1"/>
    <col min="12" max="12" width="14.7109375" style="179" customWidth="1"/>
    <col min="13" max="13" width="15.28515625" style="179" customWidth="1"/>
    <col min="14" max="14" width="16" style="179" customWidth="1"/>
    <col min="15" max="15" width="15.5703125" style="181" customWidth="1"/>
    <col min="16" max="16384" width="9.140625" style="181"/>
  </cols>
  <sheetData>
    <row r="1" spans="1:15" ht="18" customHeight="1">
      <c r="A1" s="182" t="s">
        <v>52</v>
      </c>
      <c r="B1" s="183" t="s">
        <v>53</v>
      </c>
      <c r="C1" s="180"/>
      <c r="L1" s="180"/>
      <c r="M1" s="180"/>
      <c r="N1" s="180"/>
    </row>
    <row r="2" spans="1:15" ht="21" customHeight="1">
      <c r="A2" s="184" t="s">
        <v>54</v>
      </c>
      <c r="B2" s="185"/>
      <c r="C2" s="186"/>
      <c r="D2" s="186"/>
      <c r="E2" s="186"/>
      <c r="F2" s="186"/>
      <c r="G2" s="186"/>
      <c r="H2" s="186"/>
      <c r="I2" s="270"/>
      <c r="J2" s="186"/>
      <c r="K2" s="186"/>
      <c r="L2" s="186"/>
      <c r="M2" s="179">
        <v>8</v>
      </c>
      <c r="N2" s="179" t="s">
        <v>55</v>
      </c>
    </row>
    <row r="3" spans="1:15" ht="37.5" customHeight="1">
      <c r="A3" s="187" t="s">
        <v>1</v>
      </c>
      <c r="B3" s="188" t="s">
        <v>2</v>
      </c>
      <c r="C3" s="188" t="s">
        <v>56</v>
      </c>
      <c r="D3" s="189" t="s">
        <v>9</v>
      </c>
      <c r="E3" s="189" t="s">
        <v>14</v>
      </c>
      <c r="F3" s="189" t="s">
        <v>15</v>
      </c>
      <c r="G3" s="189" t="s">
        <v>16</v>
      </c>
      <c r="H3" s="189" t="s">
        <v>17</v>
      </c>
      <c r="I3" s="189" t="s">
        <v>18</v>
      </c>
      <c r="J3" s="189" t="s">
        <v>19</v>
      </c>
      <c r="K3" s="189" t="s">
        <v>4</v>
      </c>
      <c r="L3" s="188" t="str">
        <f>CONCATENATE("Итого за ",M2," мес.")</f>
        <v>Итого за 8 мес.</v>
      </c>
      <c r="M3" s="188" t="str">
        <f>CONCATENATE("Бюджет          за ",M2," мес.")</f>
        <v>Бюджет          за 8 мес.</v>
      </c>
      <c r="N3" s="271" t="s">
        <v>12</v>
      </c>
    </row>
    <row r="4" spans="1:15" ht="15" customHeight="1">
      <c r="A4" s="190" t="s">
        <v>57</v>
      </c>
      <c r="B4" s="191">
        <v>2208884.1</v>
      </c>
      <c r="C4" s="192"/>
      <c r="D4" s="193">
        <f t="shared" ref="D4:K4" si="0">D5*100/$C$5</f>
        <v>77.365944653142193</v>
      </c>
      <c r="E4" s="193">
        <f t="shared" si="0"/>
        <v>130.40087194186799</v>
      </c>
      <c r="F4" s="193">
        <f t="shared" si="0"/>
        <v>113.321724709381</v>
      </c>
      <c r="G4" s="193">
        <f t="shared" si="0"/>
        <v>98.595607409219696</v>
      </c>
      <c r="H4" s="193">
        <f t="shared" si="0"/>
        <v>98.920898490226307</v>
      </c>
      <c r="I4" s="193">
        <f t="shared" si="0"/>
        <v>101.982857873865</v>
      </c>
      <c r="J4" s="193">
        <f t="shared" si="0"/>
        <v>91.036475537618898</v>
      </c>
      <c r="K4" s="193">
        <f t="shared" si="0"/>
        <v>89.047756401058194</v>
      </c>
      <c r="L4" s="192"/>
      <c r="M4" s="272"/>
      <c r="N4" s="272"/>
    </row>
    <row r="5" spans="1:15" ht="15.75">
      <c r="A5" s="190" t="s">
        <v>58</v>
      </c>
      <c r="B5" s="194">
        <v>49340904</v>
      </c>
      <c r="C5" s="195">
        <f>B5/12</f>
        <v>4111742</v>
      </c>
      <c r="D5" s="196">
        <f>3218624.04-37536</f>
        <v>3181088.04</v>
      </c>
      <c r="E5" s="196">
        <f>5781336.42-81079-338510</f>
        <v>5361747.42</v>
      </c>
      <c r="F5" s="197">
        <f>4629496.95+30000</f>
        <v>4659496.95</v>
      </c>
      <c r="G5" s="197">
        <v>4053997</v>
      </c>
      <c r="H5" s="197">
        <v>4067372.13</v>
      </c>
      <c r="I5" s="197">
        <v>4193272</v>
      </c>
      <c r="J5" s="197">
        <v>3743185</v>
      </c>
      <c r="K5" s="197">
        <v>3661414</v>
      </c>
      <c r="L5" s="273">
        <f>SUM(D5:K5)</f>
        <v>32921572.539999999</v>
      </c>
      <c r="M5" s="274">
        <f>C5*M2</f>
        <v>32893936</v>
      </c>
      <c r="N5" s="275">
        <f>L5-M5</f>
        <v>27636.539999999099</v>
      </c>
    </row>
    <row r="6" spans="1:15" ht="15.75">
      <c r="A6" s="190" t="s">
        <v>59</v>
      </c>
      <c r="B6" s="198"/>
      <c r="C6" s="199"/>
      <c r="D6" s="196">
        <v>100000</v>
      </c>
      <c r="E6" s="196"/>
      <c r="F6" s="197"/>
      <c r="G6" s="197"/>
      <c r="H6" s="197"/>
      <c r="I6" s="197"/>
      <c r="J6" s="197">
        <v>200000</v>
      </c>
      <c r="K6" s="197"/>
      <c r="L6" s="273">
        <f>SUM(D6:K6)</f>
        <v>300000</v>
      </c>
      <c r="M6" s="276"/>
      <c r="N6" s="275">
        <f t="shared" ref="N6:N8" si="1">L6-M6</f>
        <v>300000</v>
      </c>
    </row>
    <row r="7" spans="1:15" ht="15.75">
      <c r="A7" s="190" t="s">
        <v>60</v>
      </c>
      <c r="B7" s="200">
        <v>1100000</v>
      </c>
      <c r="C7" s="201">
        <f>B7/12</f>
        <v>91666.666666666701</v>
      </c>
      <c r="D7" s="196">
        <v>68150</v>
      </c>
      <c r="E7" s="197">
        <v>78300</v>
      </c>
      <c r="F7" s="197">
        <f>15700</f>
        <v>15700</v>
      </c>
      <c r="G7" s="197">
        <v>40902</v>
      </c>
      <c r="H7" s="197">
        <v>41514</v>
      </c>
      <c r="I7" s="197">
        <v>40500</v>
      </c>
      <c r="J7" s="197">
        <v>86600</v>
      </c>
      <c r="K7" s="197">
        <v>79701</v>
      </c>
      <c r="L7" s="273">
        <f t="shared" ref="L7:L12" si="2">SUM(D7:K7)</f>
        <v>451367</v>
      </c>
      <c r="M7" s="277">
        <f>C7*M2</f>
        <v>733333.33333333302</v>
      </c>
      <c r="N7" s="275">
        <f t="shared" si="1"/>
        <v>-281966.33333333302</v>
      </c>
    </row>
    <row r="8" spans="1:15" ht="31.5">
      <c r="A8" s="202" t="s">
        <v>61</v>
      </c>
      <c r="B8" s="203">
        <v>1060000</v>
      </c>
      <c r="C8" s="204">
        <f>B8/12</f>
        <v>88333.333333333299</v>
      </c>
      <c r="D8" s="205">
        <f>37536+40000+20000</f>
        <v>97536</v>
      </c>
      <c r="E8" s="205">
        <f>81079+40000+40000+20000</f>
        <v>181079</v>
      </c>
      <c r="F8" s="205">
        <f>46080+11275.58+6182.54+40000+20000</f>
        <v>123538.12</v>
      </c>
      <c r="G8" s="205">
        <v>56422</v>
      </c>
      <c r="H8" s="205">
        <v>61406</v>
      </c>
      <c r="I8" s="205">
        <v>78786</v>
      </c>
      <c r="J8" s="205">
        <v>120053</v>
      </c>
      <c r="K8" s="205">
        <v>50676</v>
      </c>
      <c r="L8" s="278">
        <f t="shared" si="2"/>
        <v>769496.12</v>
      </c>
      <c r="M8" s="279">
        <f>C8*M2</f>
        <v>706666.66666666698</v>
      </c>
      <c r="N8" s="280">
        <f t="shared" si="1"/>
        <v>62829.453333333397</v>
      </c>
    </row>
    <row r="9" spans="1:15" ht="15.75">
      <c r="A9" s="202" t="s">
        <v>62</v>
      </c>
      <c r="B9" s="206"/>
      <c r="C9" s="206"/>
      <c r="D9" s="205">
        <v>16200</v>
      </c>
      <c r="E9" s="205"/>
      <c r="F9" s="205"/>
      <c r="G9" s="205"/>
      <c r="H9" s="205">
        <v>13000</v>
      </c>
      <c r="I9" s="205">
        <v>8200</v>
      </c>
      <c r="J9" s="205">
        <v>12000</v>
      </c>
      <c r="K9" s="205">
        <v>23000</v>
      </c>
      <c r="L9" s="273">
        <f t="shared" si="2"/>
        <v>72400</v>
      </c>
      <c r="M9" s="279"/>
      <c r="N9" s="244"/>
    </row>
    <row r="10" spans="1:15" ht="15.75">
      <c r="A10" s="207" t="s">
        <v>63</v>
      </c>
      <c r="B10" s="206"/>
      <c r="C10" s="206"/>
      <c r="D10" s="208">
        <v>2795</v>
      </c>
      <c r="E10" s="208">
        <f>13991.77+2795+13900.16</f>
        <v>30686.93</v>
      </c>
      <c r="F10" s="208">
        <f>9300.78</f>
        <v>9300.7800000000007</v>
      </c>
      <c r="G10" s="208">
        <v>26204.9</v>
      </c>
      <c r="H10" s="208">
        <v>45421</v>
      </c>
      <c r="I10" s="208">
        <v>19835</v>
      </c>
      <c r="J10" s="208">
        <v>23804</v>
      </c>
      <c r="K10" s="208">
        <v>23714</v>
      </c>
      <c r="L10" s="273">
        <f t="shared" si="2"/>
        <v>181761.61</v>
      </c>
      <c r="M10" s="208"/>
      <c r="N10" s="181"/>
    </row>
    <row r="11" spans="1:15" ht="15.75">
      <c r="A11" s="207" t="s">
        <v>64</v>
      </c>
      <c r="B11" s="206"/>
      <c r="C11" s="206"/>
      <c r="D11" s="208"/>
      <c r="E11" s="208"/>
      <c r="F11" s="208"/>
      <c r="G11" s="208"/>
      <c r="H11" s="208">
        <v>117</v>
      </c>
      <c r="I11" s="208"/>
      <c r="J11" s="208"/>
      <c r="K11" s="208"/>
      <c r="L11" s="273">
        <f t="shared" si="2"/>
        <v>117</v>
      </c>
      <c r="M11" s="208"/>
      <c r="N11" s="181"/>
    </row>
    <row r="12" spans="1:15" ht="15.75">
      <c r="A12" s="207" t="s">
        <v>65</v>
      </c>
      <c r="B12" s="206"/>
      <c r="C12" s="206"/>
      <c r="D12" s="208">
        <v>3040</v>
      </c>
      <c r="E12" s="208"/>
      <c r="F12" s="208"/>
      <c r="G12" s="208"/>
      <c r="H12" s="208"/>
      <c r="I12" s="208"/>
      <c r="J12" s="208">
        <v>974</v>
      </c>
      <c r="K12" s="208">
        <v>2040</v>
      </c>
      <c r="L12" s="273">
        <f t="shared" si="2"/>
        <v>6054</v>
      </c>
      <c r="M12" s="208"/>
      <c r="N12" s="181"/>
    </row>
    <row r="13" spans="1:15" ht="15.75">
      <c r="A13" s="209" t="s">
        <v>66</v>
      </c>
      <c r="B13" s="210"/>
      <c r="C13" s="210"/>
      <c r="D13" s="211"/>
      <c r="E13" s="211">
        <v>45000</v>
      </c>
      <c r="F13" s="211"/>
      <c r="G13" s="211"/>
      <c r="H13" s="211"/>
      <c r="I13" s="211"/>
      <c r="J13" s="211"/>
      <c r="K13" s="211"/>
      <c r="L13" s="281"/>
      <c r="M13" s="282"/>
      <c r="N13" s="181"/>
    </row>
    <row r="14" spans="1:15" ht="15.75">
      <c r="A14" s="212" t="s">
        <v>67</v>
      </c>
      <c r="B14" s="213"/>
      <c r="C14" s="213"/>
      <c r="D14" s="214">
        <f>D53-D54</f>
        <v>1900</v>
      </c>
      <c r="E14" s="214">
        <f>E53-E54</f>
        <v>-33600</v>
      </c>
      <c r="F14" s="214">
        <f>F53-F54+F56-F57</f>
        <v>-235990</v>
      </c>
      <c r="G14" s="214">
        <v>36900</v>
      </c>
      <c r="H14" s="214">
        <v>59820</v>
      </c>
      <c r="I14" s="214">
        <f>I53-I54+I56-I57</f>
        <v>-79890</v>
      </c>
      <c r="J14" s="214">
        <f>J53-J54+J56-J57</f>
        <v>-112700</v>
      </c>
      <c r="K14" s="214">
        <f>K53-K54+K56-K57</f>
        <v>-27750</v>
      </c>
      <c r="L14" s="281"/>
      <c r="M14" s="282"/>
      <c r="N14" s="181"/>
    </row>
    <row r="15" spans="1:15" ht="15.75">
      <c r="A15" s="215" t="s">
        <v>68</v>
      </c>
      <c r="B15" s="191">
        <f>SUM(B5:B12)</f>
        <v>51500904</v>
      </c>
      <c r="C15" s="216">
        <f>SUM(C5:C12)</f>
        <v>4291742</v>
      </c>
      <c r="D15" s="217">
        <f t="shared" ref="D15:K15" si="3">SUM(D5:D14)</f>
        <v>3470709.04</v>
      </c>
      <c r="E15" s="217">
        <f t="shared" si="3"/>
        <v>5663213.3499999996</v>
      </c>
      <c r="F15" s="217">
        <f t="shared" si="3"/>
        <v>4572045.8499999996</v>
      </c>
      <c r="G15" s="217">
        <f t="shared" si="3"/>
        <v>4214425.9000000004</v>
      </c>
      <c r="H15" s="217">
        <f t="shared" si="3"/>
        <v>4288650.13</v>
      </c>
      <c r="I15" s="217">
        <f t="shared" si="3"/>
        <v>4260703</v>
      </c>
      <c r="J15" s="217">
        <f t="shared" si="3"/>
        <v>4073916</v>
      </c>
      <c r="K15" s="217">
        <f t="shared" si="3"/>
        <v>3812795</v>
      </c>
      <c r="L15" s="283">
        <f>SUM(D15:K15)</f>
        <v>34356458.270000003</v>
      </c>
      <c r="M15" s="284">
        <f>SUM(M5:M12)</f>
        <v>34333936</v>
      </c>
      <c r="N15" s="285">
        <f>L15-M15</f>
        <v>22522.269999995799</v>
      </c>
      <c r="O15" s="286"/>
    </row>
    <row r="16" spans="1:15" ht="15.75">
      <c r="A16" s="215" t="s">
        <v>69</v>
      </c>
      <c r="B16" s="194">
        <f>B15+B4</f>
        <v>53709788.100000001</v>
      </c>
      <c r="C16" s="218"/>
      <c r="D16" s="219"/>
      <c r="E16" s="219"/>
      <c r="F16" s="219"/>
      <c r="G16" s="219"/>
      <c r="H16" s="219"/>
      <c r="I16" s="219"/>
      <c r="J16" s="219"/>
      <c r="K16" s="219"/>
      <c r="L16" s="218"/>
      <c r="M16" s="218"/>
      <c r="N16" s="218"/>
      <c r="O16" s="286"/>
    </row>
    <row r="17" spans="1:18" ht="33" customHeight="1">
      <c r="A17" s="220" t="s">
        <v>26</v>
      </c>
      <c r="B17" s="221"/>
      <c r="C17" s="222"/>
      <c r="D17" s="223"/>
      <c r="E17" s="223"/>
      <c r="F17" s="223"/>
      <c r="G17" s="223"/>
      <c r="H17" s="223"/>
      <c r="I17" s="287"/>
      <c r="J17" s="223"/>
      <c r="K17" s="223"/>
      <c r="L17" s="222"/>
      <c r="M17" s="288"/>
      <c r="N17" s="289" t="s">
        <v>27</v>
      </c>
    </row>
    <row r="18" spans="1:18" ht="15.75">
      <c r="A18" s="224" t="s">
        <v>28</v>
      </c>
      <c r="B18" s="194">
        <v>1000000</v>
      </c>
      <c r="C18" s="195">
        <f t="shared" ref="C18:C36" si="4">B18/12</f>
        <v>83333.333333333299</v>
      </c>
      <c r="D18" s="225">
        <f>'общехоз расходы'!B115</f>
        <v>86243.06</v>
      </c>
      <c r="E18" s="225">
        <f>'общехоз расходы'!C115</f>
        <v>58913.47</v>
      </c>
      <c r="F18" s="225">
        <f>'общехоз расходы'!D115</f>
        <v>21051.37</v>
      </c>
      <c r="G18" s="225">
        <v>131251</v>
      </c>
      <c r="H18" s="225">
        <f>'общехоз расходы'!F115</f>
        <v>79836</v>
      </c>
      <c r="I18" s="225">
        <f>'общехоз расходы'!G115</f>
        <v>117247</v>
      </c>
      <c r="J18" s="225">
        <f>'общехоз расходы'!H115</f>
        <v>72125</v>
      </c>
      <c r="K18" s="225">
        <f>'общехоз расходы'!I115</f>
        <v>52147</v>
      </c>
      <c r="L18" s="281">
        <f t="shared" ref="L18:L36" si="5">SUM(D18:K18)</f>
        <v>618813.9</v>
      </c>
      <c r="M18" s="274">
        <f t="shared" ref="M18:M30" si="6">C18*$M$2</f>
        <v>666666.66666666698</v>
      </c>
      <c r="N18" s="290">
        <f>M18-L18</f>
        <v>47852.766666666997</v>
      </c>
    </row>
    <row r="19" spans="1:18" ht="15.75">
      <c r="A19" s="226" t="s">
        <v>29</v>
      </c>
      <c r="B19" s="191">
        <v>80000</v>
      </c>
      <c r="C19" s="195">
        <f t="shared" si="4"/>
        <v>6666.6666666666697</v>
      </c>
      <c r="D19" s="227">
        <f>'прогр обесп'!B10</f>
        <v>17000</v>
      </c>
      <c r="E19" s="227">
        <f>'прогр обесп'!C10</f>
        <v>12399</v>
      </c>
      <c r="F19" s="227">
        <f>'прогр обесп'!D10</f>
        <v>0</v>
      </c>
      <c r="G19" s="227">
        <f>'прогр обесп'!E10</f>
        <v>0</v>
      </c>
      <c r="H19" s="227">
        <f>'прогр обесп'!F10</f>
        <v>0</v>
      </c>
      <c r="I19" s="227">
        <f>'прогр обесп'!G10</f>
        <v>0</v>
      </c>
      <c r="J19" s="227">
        <f>'прогр обесп'!H10</f>
        <v>0</v>
      </c>
      <c r="K19" s="227">
        <f>'прогр обесп'!I10</f>
        <v>0</v>
      </c>
      <c r="L19" s="273">
        <f t="shared" si="5"/>
        <v>29399</v>
      </c>
      <c r="M19" s="274">
        <f t="shared" si="6"/>
        <v>53333.333333333299</v>
      </c>
      <c r="N19" s="290">
        <f t="shared" ref="N19:N29" si="7">M19-L19</f>
        <v>23934.333333333299</v>
      </c>
    </row>
    <row r="20" spans="1:18" ht="15.75">
      <c r="A20" s="224" t="s">
        <v>30</v>
      </c>
      <c r="B20" s="194">
        <v>110000</v>
      </c>
      <c r="C20" s="195">
        <f t="shared" si="4"/>
        <v>9166.6666666666697</v>
      </c>
      <c r="D20" s="225">
        <f>связь!B9</f>
        <v>6200</v>
      </c>
      <c r="E20" s="225">
        <f>связь!C9</f>
        <v>6200</v>
      </c>
      <c r="F20" s="225">
        <f>связь!D9</f>
        <v>0</v>
      </c>
      <c r="G20" s="225">
        <v>12400</v>
      </c>
      <c r="H20" s="225">
        <f>связь!F9</f>
        <v>6200</v>
      </c>
      <c r="I20" s="225">
        <f>связь!G9</f>
        <v>6200</v>
      </c>
      <c r="J20" s="225">
        <f>связь!H9</f>
        <v>6200</v>
      </c>
      <c r="K20" s="225">
        <f>связь!I9</f>
        <v>8700</v>
      </c>
      <c r="L20" s="273">
        <f t="shared" si="5"/>
        <v>52100</v>
      </c>
      <c r="M20" s="274">
        <f t="shared" si="6"/>
        <v>73333.333333333299</v>
      </c>
      <c r="N20" s="290">
        <f t="shared" si="7"/>
        <v>21233.333333333299</v>
      </c>
    </row>
    <row r="21" spans="1:18" ht="15.75">
      <c r="A21" s="226" t="s">
        <v>70</v>
      </c>
      <c r="B21" s="191">
        <v>11101200</v>
      </c>
      <c r="C21" s="195">
        <f t="shared" si="4"/>
        <v>925100</v>
      </c>
      <c r="D21" s="227">
        <f>'з пл'!B6</f>
        <v>775673</v>
      </c>
      <c r="E21" s="227">
        <f>'з пл'!C6</f>
        <v>1263360</v>
      </c>
      <c r="F21" s="227">
        <f>'з пл'!D6</f>
        <v>833714.38</v>
      </c>
      <c r="G21" s="227">
        <v>1019244</v>
      </c>
      <c r="H21" s="227">
        <v>1055264</v>
      </c>
      <c r="I21" s="227">
        <f>'з пл'!G6</f>
        <v>923131</v>
      </c>
      <c r="J21" s="227">
        <f>'з пл'!H6</f>
        <v>1017402</v>
      </c>
      <c r="K21" s="227">
        <f>'з пл'!I6</f>
        <v>876388</v>
      </c>
      <c r="L21" s="273">
        <f t="shared" si="5"/>
        <v>7764176.3799999999</v>
      </c>
      <c r="M21" s="274">
        <f t="shared" si="6"/>
        <v>7400800</v>
      </c>
      <c r="N21" s="290">
        <f t="shared" si="7"/>
        <v>-363376.37999999989</v>
      </c>
    </row>
    <row r="22" spans="1:18" ht="15.75">
      <c r="A22" s="226" t="s">
        <v>33</v>
      </c>
      <c r="B22" s="191">
        <v>804000</v>
      </c>
      <c r="C22" s="195">
        <f t="shared" si="4"/>
        <v>67000</v>
      </c>
      <c r="D22" s="227">
        <f>премии!B5</f>
        <v>40000</v>
      </c>
      <c r="E22" s="227">
        <f>премии!C5</f>
        <v>117000</v>
      </c>
      <c r="F22" s="227">
        <f>премии!D5</f>
        <v>41000</v>
      </c>
      <c r="G22" s="227">
        <v>40019</v>
      </c>
      <c r="H22" s="227">
        <f>премии!F5</f>
        <v>0</v>
      </c>
      <c r="I22" s="227">
        <f>премии!G5</f>
        <v>0</v>
      </c>
      <c r="J22" s="227">
        <f>премии!H5</f>
        <v>0</v>
      </c>
      <c r="K22" s="227">
        <f>премии!I5</f>
        <v>0</v>
      </c>
      <c r="L22" s="273">
        <f t="shared" si="5"/>
        <v>238019</v>
      </c>
      <c r="M22" s="274">
        <f t="shared" si="6"/>
        <v>536000</v>
      </c>
      <c r="N22" s="290">
        <f t="shared" si="7"/>
        <v>297981</v>
      </c>
    </row>
    <row r="23" spans="1:18" ht="15.75">
      <c r="A23" s="226" t="s">
        <v>34</v>
      </c>
      <c r="B23" s="191">
        <v>3595400</v>
      </c>
      <c r="C23" s="195">
        <f t="shared" si="4"/>
        <v>299616.66666666698</v>
      </c>
      <c r="D23" s="227">
        <v>248222</v>
      </c>
      <c r="E23" s="227">
        <f>'налог с ФОТ'!C6</f>
        <v>268690.40000000002</v>
      </c>
      <c r="F23" s="227">
        <f>'налог с ФОТ'!D6</f>
        <v>238997.81</v>
      </c>
      <c r="G23" s="227">
        <v>171007</v>
      </c>
      <c r="H23" s="227">
        <v>254479</v>
      </c>
      <c r="I23" s="227">
        <f>'налог с ФОТ'!G6</f>
        <v>513335</v>
      </c>
      <c r="J23" s="227">
        <f>'налог с ФОТ'!H6</f>
        <v>271664</v>
      </c>
      <c r="K23" s="227">
        <f>'налог с ФОТ'!I6</f>
        <v>405612</v>
      </c>
      <c r="L23" s="273">
        <f t="shared" si="5"/>
        <v>2372007.21</v>
      </c>
      <c r="M23" s="274">
        <f t="shared" si="6"/>
        <v>2396933.3333333302</v>
      </c>
      <c r="N23" s="290">
        <f t="shared" si="7"/>
        <v>24926.123333330266</v>
      </c>
    </row>
    <row r="24" spans="1:18" ht="15.75">
      <c r="A24" s="224" t="s">
        <v>36</v>
      </c>
      <c r="B24" s="194">
        <v>5000000</v>
      </c>
      <c r="C24" s="195">
        <f t="shared" si="4"/>
        <v>416666.66666666698</v>
      </c>
      <c r="D24" s="225">
        <f>мусор!B10</f>
        <v>609000</v>
      </c>
      <c r="E24" s="225">
        <f>мусор!C10</f>
        <v>409208.62</v>
      </c>
      <c r="F24" s="225">
        <f>мусор!D10</f>
        <v>197200</v>
      </c>
      <c r="G24" s="225">
        <v>214600</v>
      </c>
      <c r="H24" s="225">
        <f>мусор!F10</f>
        <v>184363</v>
      </c>
      <c r="I24" s="225">
        <f>мусор!G10</f>
        <v>333808</v>
      </c>
      <c r="J24" s="225">
        <f>мусор!H10</f>
        <v>569894</v>
      </c>
      <c r="K24" s="225">
        <f>мусор!I10</f>
        <v>419704</v>
      </c>
      <c r="L24" s="273">
        <f t="shared" si="5"/>
        <v>2937777.62</v>
      </c>
      <c r="M24" s="274">
        <f t="shared" si="6"/>
        <v>3333333.3333333302</v>
      </c>
      <c r="N24" s="290">
        <f t="shared" si="7"/>
        <v>395555.71333333</v>
      </c>
    </row>
    <row r="25" spans="1:18" ht="15.75">
      <c r="A25" s="224" t="s">
        <v>37</v>
      </c>
      <c r="B25" s="194">
        <v>9396000</v>
      </c>
      <c r="C25" s="195">
        <f t="shared" si="4"/>
        <v>783000</v>
      </c>
      <c r="D25" s="228"/>
      <c r="E25" s="228">
        <f>783000+783000</f>
        <v>1566000</v>
      </c>
      <c r="F25" s="228">
        <v>783000</v>
      </c>
      <c r="G25" s="228"/>
      <c r="H25" s="228">
        <v>1566000</v>
      </c>
      <c r="I25" s="228">
        <v>783000</v>
      </c>
      <c r="J25" s="228">
        <v>783000</v>
      </c>
      <c r="K25" s="228">
        <v>783000</v>
      </c>
      <c r="L25" s="273">
        <f t="shared" si="5"/>
        <v>6264000</v>
      </c>
      <c r="M25" s="274">
        <f t="shared" si="6"/>
        <v>6264000</v>
      </c>
      <c r="N25" s="290">
        <f t="shared" si="7"/>
        <v>0</v>
      </c>
    </row>
    <row r="26" spans="1:18" ht="15.75">
      <c r="A26" s="224" t="s">
        <v>39</v>
      </c>
      <c r="B26" s="194">
        <v>400000</v>
      </c>
      <c r="C26" s="195">
        <f t="shared" si="4"/>
        <v>33333.333333333299</v>
      </c>
      <c r="D26" s="225">
        <f>вода!B36</f>
        <v>32764.799999999999</v>
      </c>
      <c r="E26" s="225">
        <f>вода!C36</f>
        <v>10330</v>
      </c>
      <c r="F26" s="225">
        <f>вода!D36</f>
        <v>168473</v>
      </c>
      <c r="G26" s="225">
        <f>вода!E36</f>
        <v>12721</v>
      </c>
      <c r="H26" s="225">
        <f>вода!F36</f>
        <v>10167</v>
      </c>
      <c r="I26" s="225">
        <f>вода!G36</f>
        <v>10348</v>
      </c>
      <c r="J26" s="225">
        <f>вода!H36</f>
        <v>0</v>
      </c>
      <c r="K26" s="225">
        <f>вода!I36</f>
        <v>9500</v>
      </c>
      <c r="L26" s="273">
        <f t="shared" si="5"/>
        <v>254303.8</v>
      </c>
      <c r="M26" s="274">
        <f t="shared" si="6"/>
        <v>266666.66666666698</v>
      </c>
      <c r="N26" s="290">
        <f t="shared" si="7"/>
        <v>12362.866666667</v>
      </c>
    </row>
    <row r="27" spans="1:18" ht="15.75">
      <c r="A27" s="224" t="s">
        <v>71</v>
      </c>
      <c r="B27" s="194">
        <v>450000</v>
      </c>
      <c r="C27" s="195">
        <f t="shared" si="4"/>
        <v>37500</v>
      </c>
      <c r="D27" s="225">
        <f>канализация!B63</f>
        <v>99780</v>
      </c>
      <c r="E27" s="225">
        <f>канализация!C63</f>
        <v>-71577.38</v>
      </c>
      <c r="F27" s="225">
        <f>канализация!D63</f>
        <v>100581</v>
      </c>
      <c r="G27" s="225">
        <v>19260</v>
      </c>
      <c r="H27" s="225">
        <f>канализация!F63</f>
        <v>64797</v>
      </c>
      <c r="I27" s="225">
        <f>канализация!G63</f>
        <v>116155</v>
      </c>
      <c r="J27" s="225">
        <f>канализация!H63</f>
        <v>52225</v>
      </c>
      <c r="K27" s="225">
        <f>канализация!I63</f>
        <v>48231</v>
      </c>
      <c r="L27" s="273">
        <f t="shared" si="5"/>
        <v>429451.62</v>
      </c>
      <c r="M27" s="274">
        <f t="shared" si="6"/>
        <v>300000</v>
      </c>
      <c r="N27" s="290">
        <f t="shared" si="7"/>
        <v>-129451.62</v>
      </c>
    </row>
    <row r="28" spans="1:18" ht="15.75">
      <c r="A28" s="224" t="s">
        <v>72</v>
      </c>
      <c r="B28" s="194">
        <v>2100000</v>
      </c>
      <c r="C28" s="195">
        <f t="shared" si="4"/>
        <v>175000</v>
      </c>
      <c r="D28" s="225">
        <f>эл.снабж!B77</f>
        <v>232766.64</v>
      </c>
      <c r="E28" s="225">
        <f>эл.снабж!C77</f>
        <v>279709.18</v>
      </c>
      <c r="F28" s="225">
        <f>эл.снабж!D77</f>
        <v>279624.46000000002</v>
      </c>
      <c r="G28" s="225">
        <v>302425</v>
      </c>
      <c r="H28" s="225">
        <f>эл.снабж!F77</f>
        <v>299153</v>
      </c>
      <c r="I28" s="225">
        <f>эл.снабж!G77</f>
        <v>236063</v>
      </c>
      <c r="J28" s="225">
        <f>эл.снабж!H77</f>
        <v>201173</v>
      </c>
      <c r="K28" s="225">
        <f>эл.снабж!I77</f>
        <v>189418</v>
      </c>
      <c r="L28" s="273">
        <f t="shared" si="5"/>
        <v>2020332.28</v>
      </c>
      <c r="M28" s="274">
        <f t="shared" si="6"/>
        <v>1400000</v>
      </c>
      <c r="N28" s="290">
        <f t="shared" si="7"/>
        <v>-620332.28</v>
      </c>
      <c r="R28" s="181" t="s">
        <v>73</v>
      </c>
    </row>
    <row r="29" spans="1:18" ht="30">
      <c r="A29" s="224" t="s">
        <v>74</v>
      </c>
      <c r="B29" s="194">
        <v>550000</v>
      </c>
      <c r="C29" s="195">
        <f t="shared" si="4"/>
        <v>45833.333333333299</v>
      </c>
      <c r="D29" s="225">
        <f>'спец авто транспорт'!B47</f>
        <v>55368</v>
      </c>
      <c r="E29" s="225">
        <f>'спец авто транспорт'!C47</f>
        <v>83345</v>
      </c>
      <c r="F29" s="225">
        <f>'спец авто транспорт'!D47</f>
        <v>14706.94</v>
      </c>
      <c r="G29" s="225">
        <v>56188</v>
      </c>
      <c r="H29" s="225">
        <f>'спец авто транспорт'!F47</f>
        <v>82864</v>
      </c>
      <c r="I29" s="225">
        <f>'спец авто транспорт'!G47</f>
        <v>42172</v>
      </c>
      <c r="J29" s="225">
        <f>'спец авто транспорт'!H47</f>
        <v>27689</v>
      </c>
      <c r="K29" s="225">
        <f>'спец авто транспорт'!I47</f>
        <v>47528</v>
      </c>
      <c r="L29" s="273">
        <f t="shared" si="5"/>
        <v>409860.94</v>
      </c>
      <c r="M29" s="274">
        <f t="shared" si="6"/>
        <v>366666.66666666698</v>
      </c>
      <c r="N29" s="290">
        <f t="shared" si="7"/>
        <v>-43194.273333333003</v>
      </c>
    </row>
    <row r="30" spans="1:18" ht="15.75">
      <c r="A30" s="224" t="s">
        <v>45</v>
      </c>
      <c r="B30" s="194">
        <v>450000</v>
      </c>
      <c r="C30" s="195">
        <f t="shared" si="4"/>
        <v>37500</v>
      </c>
      <c r="D30" s="225">
        <f>'благ-во'!B62</f>
        <v>82340</v>
      </c>
      <c r="E30" s="225">
        <f>'благ-во'!C62</f>
        <v>0</v>
      </c>
      <c r="F30" s="225">
        <f>'благ-во'!D62</f>
        <v>0</v>
      </c>
      <c r="G30" s="225">
        <v>68000</v>
      </c>
      <c r="H30" s="225">
        <f>'благ-во'!F62</f>
        <v>0</v>
      </c>
      <c r="I30" s="225">
        <f>'благ-во'!G62</f>
        <v>20630</v>
      </c>
      <c r="J30" s="225">
        <f>'благ-во'!H62</f>
        <v>26716</v>
      </c>
      <c r="K30" s="225">
        <f>'благ-во'!I62</f>
        <v>246607</v>
      </c>
      <c r="L30" s="273">
        <f t="shared" si="5"/>
        <v>444293</v>
      </c>
      <c r="M30" s="274">
        <f t="shared" si="6"/>
        <v>300000</v>
      </c>
      <c r="N30" s="290">
        <f t="shared" ref="N30" si="8">M30-L30</f>
        <v>-144293</v>
      </c>
    </row>
    <row r="31" spans="1:18" ht="30">
      <c r="A31" s="224" t="s">
        <v>75</v>
      </c>
      <c r="B31" s="194">
        <v>3100000</v>
      </c>
      <c r="C31" s="195">
        <f t="shared" si="4"/>
        <v>258333.33333333299</v>
      </c>
      <c r="D31" s="228"/>
      <c r="E31" s="228"/>
      <c r="F31" s="228"/>
      <c r="G31" s="228"/>
      <c r="H31" s="228"/>
      <c r="I31" s="228"/>
      <c r="J31" s="228"/>
      <c r="K31" s="228"/>
      <c r="L31" s="273">
        <f t="shared" si="5"/>
        <v>0</v>
      </c>
      <c r="M31" s="291" t="s">
        <v>76</v>
      </c>
      <c r="N31" s="292">
        <f>B31-L31</f>
        <v>3100000</v>
      </c>
    </row>
    <row r="32" spans="1:18" ht="15.75">
      <c r="A32" s="224" t="s">
        <v>77</v>
      </c>
      <c r="B32" s="194">
        <v>800000</v>
      </c>
      <c r="C32" s="195">
        <f t="shared" si="4"/>
        <v>66666.666666666701</v>
      </c>
      <c r="D32" s="228"/>
      <c r="E32" s="228">
        <f>104000+696000</f>
        <v>800000</v>
      </c>
      <c r="F32" s="228"/>
      <c r="G32" s="228"/>
      <c r="H32" s="228"/>
      <c r="I32" s="228"/>
      <c r="J32" s="228"/>
      <c r="K32" s="228"/>
      <c r="L32" s="273">
        <f t="shared" si="5"/>
        <v>800000</v>
      </c>
      <c r="M32" s="291" t="s">
        <v>76</v>
      </c>
      <c r="N32" s="292">
        <f t="shared" ref="N32:N34" si="9">B32-L32</f>
        <v>0</v>
      </c>
    </row>
    <row r="33" spans="1:15" ht="15.75">
      <c r="A33" s="224" t="s">
        <v>78</v>
      </c>
      <c r="B33" s="198">
        <v>100000</v>
      </c>
      <c r="C33" s="195">
        <f t="shared" si="4"/>
        <v>8333.3333333333303</v>
      </c>
      <c r="D33" s="229"/>
      <c r="E33" s="229">
        <f>87000+13000</f>
        <v>100000</v>
      </c>
      <c r="F33" s="229"/>
      <c r="G33" s="229"/>
      <c r="H33" s="229"/>
      <c r="I33" s="229"/>
      <c r="J33" s="229"/>
      <c r="K33" s="229"/>
      <c r="L33" s="273">
        <f t="shared" si="5"/>
        <v>100000</v>
      </c>
      <c r="M33" s="291" t="s">
        <v>76</v>
      </c>
      <c r="N33" s="292">
        <f t="shared" si="9"/>
        <v>0</v>
      </c>
    </row>
    <row r="34" spans="1:15" ht="15.75">
      <c r="A34" s="230" t="s">
        <v>79</v>
      </c>
      <c r="B34" s="198">
        <v>241600</v>
      </c>
      <c r="C34" s="195">
        <f t="shared" si="4"/>
        <v>20133.333333333299</v>
      </c>
      <c r="D34" s="229"/>
      <c r="E34" s="229"/>
      <c r="F34" s="229"/>
      <c r="G34" s="229">
        <v>241600</v>
      </c>
      <c r="H34" s="229"/>
      <c r="I34" s="229"/>
      <c r="J34" s="229"/>
      <c r="K34" s="229"/>
      <c r="L34" s="273">
        <f t="shared" si="5"/>
        <v>241600</v>
      </c>
      <c r="M34" s="291" t="s">
        <v>76</v>
      </c>
      <c r="N34" s="292">
        <f t="shared" si="9"/>
        <v>0</v>
      </c>
    </row>
    <row r="35" spans="1:15" ht="15.75">
      <c r="A35" s="230" t="s">
        <v>80</v>
      </c>
      <c r="B35" s="198">
        <v>30200</v>
      </c>
      <c r="C35" s="199">
        <f t="shared" si="4"/>
        <v>2516.6666666666702</v>
      </c>
      <c r="D35" s="229"/>
      <c r="E35" s="229"/>
      <c r="F35" s="229"/>
      <c r="G35" s="229">
        <v>30200</v>
      </c>
      <c r="H35" s="229"/>
      <c r="I35" s="229"/>
      <c r="J35" s="229"/>
      <c r="K35" s="229"/>
      <c r="L35" s="293">
        <v>30200</v>
      </c>
      <c r="M35" s="294" t="s">
        <v>76</v>
      </c>
      <c r="N35" s="295" t="s">
        <v>404</v>
      </c>
    </row>
    <row r="36" spans="1:15" ht="15.75">
      <c r="A36" s="231" t="s">
        <v>47</v>
      </c>
      <c r="B36" s="232">
        <v>2358504</v>
      </c>
      <c r="C36" s="233">
        <f t="shared" si="4"/>
        <v>196542</v>
      </c>
      <c r="D36" s="234">
        <f>'рез фонд'!B55</f>
        <v>110432</v>
      </c>
      <c r="E36" s="234">
        <f>'рез фонд'!C55</f>
        <v>0</v>
      </c>
      <c r="F36" s="234">
        <f>'рез фонд'!D55</f>
        <v>120000</v>
      </c>
      <c r="G36" s="234">
        <f>'рез фонд'!E55</f>
        <v>0</v>
      </c>
      <c r="H36" s="234">
        <v>476232</v>
      </c>
      <c r="I36" s="234">
        <f>'рез фонд'!G55</f>
        <v>441488</v>
      </c>
      <c r="J36" s="234">
        <f>'рез фонд'!H55</f>
        <v>59500</v>
      </c>
      <c r="K36" s="234">
        <f>'рез фонд'!I55</f>
        <v>459785</v>
      </c>
      <c r="L36" s="296">
        <f t="shared" si="5"/>
        <v>1667437</v>
      </c>
      <c r="M36" s="297" t="s">
        <v>76</v>
      </c>
      <c r="N36" s="298">
        <f t="shared" ref="N36" si="10">B36-L36</f>
        <v>691067</v>
      </c>
      <c r="O36" s="131"/>
    </row>
    <row r="37" spans="1:15" ht="31.5">
      <c r="A37" s="235" t="s">
        <v>81</v>
      </c>
      <c r="B37" s="236">
        <f t="shared" ref="B37:L37" si="11">SUM(B18:B36)</f>
        <v>41666904</v>
      </c>
      <c r="C37" s="236">
        <f t="shared" si="11"/>
        <v>3472242</v>
      </c>
      <c r="D37" s="236">
        <f t="shared" si="11"/>
        <v>2395789.5</v>
      </c>
      <c r="E37" s="236">
        <f t="shared" si="11"/>
        <v>4903578.29</v>
      </c>
      <c r="F37" s="236">
        <f t="shared" si="11"/>
        <v>2798348.96</v>
      </c>
      <c r="G37" s="236">
        <f t="shared" si="11"/>
        <v>2318915</v>
      </c>
      <c r="H37" s="236">
        <f t="shared" si="11"/>
        <v>4079355</v>
      </c>
      <c r="I37" s="236">
        <f t="shared" si="11"/>
        <v>3543577</v>
      </c>
      <c r="J37" s="236">
        <f t="shared" si="11"/>
        <v>3087588</v>
      </c>
      <c r="K37" s="236">
        <f t="shared" si="11"/>
        <v>3546620</v>
      </c>
      <c r="L37" s="236">
        <f t="shared" si="11"/>
        <v>26673771.750000004</v>
      </c>
      <c r="M37" s="236" t="s">
        <v>76</v>
      </c>
      <c r="N37" s="236">
        <f>SUM(N18:N36)</f>
        <v>3314265.5833333279</v>
      </c>
      <c r="O37" s="131"/>
    </row>
    <row r="38" spans="1:15" ht="15.7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131"/>
    </row>
    <row r="39" spans="1:15" ht="15.75">
      <c r="A39" s="239" t="s">
        <v>82</v>
      </c>
      <c r="B39" s="194">
        <v>7560000</v>
      </c>
      <c r="C39" s="195">
        <f t="shared" ref="C39:C44" si="12">B39/12</f>
        <v>630000</v>
      </c>
      <c r="D39" s="228"/>
      <c r="E39" s="228"/>
      <c r="F39" s="228">
        <f>319494.24+177975</f>
        <v>497469.24</v>
      </c>
      <c r="G39" s="228">
        <v>2302175</v>
      </c>
      <c r="H39" s="228"/>
      <c r="I39" s="228">
        <v>608700</v>
      </c>
      <c r="J39" s="228"/>
      <c r="K39" s="228"/>
      <c r="L39" s="273">
        <f t="shared" ref="L39:L44" si="13">SUM(D39:K39)</f>
        <v>3408344.24</v>
      </c>
      <c r="M39" s="292" t="s">
        <v>76</v>
      </c>
      <c r="N39" s="299">
        <f t="shared" ref="N39:N44" si="14">B39-L39</f>
        <v>4151655.76</v>
      </c>
    </row>
    <row r="40" spans="1:15" ht="15.75">
      <c r="A40" s="226" t="s">
        <v>83</v>
      </c>
      <c r="B40" s="191">
        <v>274000</v>
      </c>
      <c r="C40" s="195">
        <f t="shared" si="12"/>
        <v>22833.333333333299</v>
      </c>
      <c r="D40" s="240"/>
      <c r="E40" s="240"/>
      <c r="F40" s="240"/>
      <c r="G40" s="240"/>
      <c r="H40" s="240"/>
      <c r="I40" s="240"/>
      <c r="J40" s="240"/>
      <c r="K40" s="240"/>
      <c r="L40" s="273">
        <f t="shared" si="13"/>
        <v>0</v>
      </c>
      <c r="M40" s="291" t="s">
        <v>76</v>
      </c>
      <c r="N40" s="299">
        <f t="shared" si="14"/>
        <v>274000</v>
      </c>
    </row>
    <row r="41" spans="1:15" ht="15.75">
      <c r="A41" s="226" t="s">
        <v>84</v>
      </c>
      <c r="B41" s="191">
        <v>300000</v>
      </c>
      <c r="C41" s="195">
        <f t="shared" si="12"/>
        <v>25000</v>
      </c>
      <c r="D41" s="240">
        <v>150000</v>
      </c>
      <c r="E41" s="240"/>
      <c r="F41" s="240">
        <v>150000</v>
      </c>
      <c r="G41" s="240"/>
      <c r="H41" s="240"/>
      <c r="I41" s="240"/>
      <c r="J41" s="240"/>
      <c r="K41" s="240"/>
      <c r="L41" s="273">
        <f t="shared" si="13"/>
        <v>300000</v>
      </c>
      <c r="M41" s="291" t="s">
        <v>76</v>
      </c>
      <c r="N41" s="299">
        <f t="shared" si="14"/>
        <v>0</v>
      </c>
    </row>
    <row r="42" spans="1:15" ht="15.75">
      <c r="A42" s="224" t="s">
        <v>85</v>
      </c>
      <c r="B42" s="194">
        <v>2800000</v>
      </c>
      <c r="C42" s="195">
        <f t="shared" si="12"/>
        <v>233333.33333333299</v>
      </c>
      <c r="D42" s="228">
        <v>1500000</v>
      </c>
      <c r="E42" s="228"/>
      <c r="F42" s="228">
        <f>1500000+515000+40000-800000+4165.6+400+10300</f>
        <v>1269865.6000000001</v>
      </c>
      <c r="G42" s="228"/>
      <c r="H42" s="228"/>
      <c r="I42" s="228"/>
      <c r="J42" s="228"/>
      <c r="K42" s="228"/>
      <c r="L42" s="273">
        <f t="shared" si="13"/>
        <v>2769865.6</v>
      </c>
      <c r="M42" s="291" t="s">
        <v>76</v>
      </c>
      <c r="N42" s="299">
        <f t="shared" si="14"/>
        <v>30134.3999999999</v>
      </c>
    </row>
    <row r="43" spans="1:15" ht="15.75">
      <c r="A43" s="224" t="s">
        <v>86</v>
      </c>
      <c r="B43" s="194">
        <v>800000</v>
      </c>
      <c r="C43" s="195">
        <f t="shared" si="12"/>
        <v>66666.666666666701</v>
      </c>
      <c r="D43" s="228"/>
      <c r="E43" s="228"/>
      <c r="F43" s="228">
        <v>800000</v>
      </c>
      <c r="G43" s="228"/>
      <c r="H43" s="228"/>
      <c r="I43" s="228"/>
      <c r="J43" s="228"/>
      <c r="K43" s="228"/>
      <c r="L43" s="273">
        <f t="shared" si="13"/>
        <v>800000</v>
      </c>
      <c r="M43" s="291" t="s">
        <v>76</v>
      </c>
      <c r="N43" s="299">
        <f t="shared" si="14"/>
        <v>0</v>
      </c>
    </row>
    <row r="44" spans="1:15" ht="15.75">
      <c r="A44" s="224" t="s">
        <v>87</v>
      </c>
      <c r="B44" s="194">
        <v>350000</v>
      </c>
      <c r="C44" s="195">
        <f t="shared" si="12"/>
        <v>29166.666666666701</v>
      </c>
      <c r="D44" s="228">
        <v>152715</v>
      </c>
      <c r="E44" s="228"/>
      <c r="F44" s="228"/>
      <c r="G44" s="228"/>
      <c r="H44" s="228"/>
      <c r="I44" s="228"/>
      <c r="J44" s="228">
        <v>195690</v>
      </c>
      <c r="K44" s="228"/>
      <c r="L44" s="273">
        <f t="shared" si="13"/>
        <v>348405</v>
      </c>
      <c r="M44" s="291" t="s">
        <v>76</v>
      </c>
      <c r="N44" s="299">
        <f t="shared" si="14"/>
        <v>1595</v>
      </c>
    </row>
    <row r="45" spans="1:15" ht="15.75">
      <c r="A45" s="224" t="s">
        <v>88</v>
      </c>
      <c r="B45" s="194">
        <v>250000</v>
      </c>
      <c r="C45" s="195">
        <f t="shared" ref="C45" si="15">B45/12</f>
        <v>20833.333333333299</v>
      </c>
      <c r="D45" s="241"/>
      <c r="E45" s="241"/>
      <c r="F45" s="241"/>
      <c r="G45" s="241"/>
      <c r="H45" s="241"/>
      <c r="I45" s="241"/>
      <c r="J45" s="241">
        <v>250000</v>
      </c>
      <c r="K45" s="241"/>
      <c r="L45" s="296"/>
      <c r="M45" s="298"/>
      <c r="N45" s="300"/>
    </row>
    <row r="46" spans="1:15" ht="31.5">
      <c r="A46" s="242" t="s">
        <v>89</v>
      </c>
      <c r="B46" s="236">
        <f t="shared" ref="B46:L46" si="16">SUM(B39:B45)</f>
        <v>12334000</v>
      </c>
      <c r="C46" s="236">
        <f t="shared" si="16"/>
        <v>1027833.33333333</v>
      </c>
      <c r="D46" s="236">
        <f t="shared" si="16"/>
        <v>1802715</v>
      </c>
      <c r="E46" s="236">
        <f t="shared" si="16"/>
        <v>0</v>
      </c>
      <c r="F46" s="236">
        <f t="shared" si="16"/>
        <v>2717334.84</v>
      </c>
      <c r="G46" s="236">
        <f t="shared" si="16"/>
        <v>2302175</v>
      </c>
      <c r="H46" s="236">
        <f t="shared" si="16"/>
        <v>0</v>
      </c>
      <c r="I46" s="236">
        <f t="shared" si="16"/>
        <v>608700</v>
      </c>
      <c r="J46" s="236">
        <f t="shared" si="16"/>
        <v>445690</v>
      </c>
      <c r="K46" s="236">
        <f t="shared" si="16"/>
        <v>0</v>
      </c>
      <c r="L46" s="236">
        <f t="shared" si="16"/>
        <v>7626614.8399999999</v>
      </c>
      <c r="M46" s="236" t="s">
        <v>76</v>
      </c>
      <c r="N46" s="236">
        <f>SUM(N39:N45)</f>
        <v>4457385.16</v>
      </c>
      <c r="O46" s="131"/>
    </row>
    <row r="47" spans="1:15" ht="15.7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131"/>
    </row>
    <row r="48" spans="1:15" ht="15.75">
      <c r="A48" s="243" t="s">
        <v>48</v>
      </c>
      <c r="B48" s="194">
        <f t="shared" ref="B48:L48" si="17">B37+B46</f>
        <v>54000904</v>
      </c>
      <c r="C48" s="195">
        <f t="shared" si="17"/>
        <v>4500075.3333333302</v>
      </c>
      <c r="D48" s="194">
        <f t="shared" si="17"/>
        <v>4198504.5</v>
      </c>
      <c r="E48" s="194">
        <f t="shared" si="17"/>
        <v>4903578.29</v>
      </c>
      <c r="F48" s="194">
        <f t="shared" si="17"/>
        <v>5515683.7999999998</v>
      </c>
      <c r="G48" s="194">
        <f t="shared" si="17"/>
        <v>4621090</v>
      </c>
      <c r="H48" s="194">
        <f t="shared" si="17"/>
        <v>4079355</v>
      </c>
      <c r="I48" s="194">
        <f t="shared" si="17"/>
        <v>4152277</v>
      </c>
      <c r="J48" s="194">
        <f t="shared" si="17"/>
        <v>3533278</v>
      </c>
      <c r="K48" s="194">
        <f t="shared" si="17"/>
        <v>3546620</v>
      </c>
      <c r="L48" s="194">
        <f t="shared" si="17"/>
        <v>34300386.590000004</v>
      </c>
      <c r="M48" s="194" t="s">
        <v>76</v>
      </c>
      <c r="N48" s="290">
        <f>N37+N46</f>
        <v>7771650.7433333285</v>
      </c>
    </row>
    <row r="49" spans="1:15" ht="15.75">
      <c r="A49" s="81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301"/>
      <c r="N49" s="244"/>
    </row>
    <row r="50" spans="1:15" s="171" customFormat="1" ht="24.75" customHeight="1">
      <c r="A50" s="245" t="s">
        <v>90</v>
      </c>
      <c r="B50" s="246"/>
      <c r="C50" s="246"/>
      <c r="D50" s="247">
        <v>1480675.35</v>
      </c>
      <c r="E50" s="247">
        <v>317648.90000000002</v>
      </c>
      <c r="F50" s="247">
        <v>1373865.95</v>
      </c>
      <c r="G50" s="247">
        <v>967202</v>
      </c>
      <c r="H50" s="247">
        <v>1176497</v>
      </c>
      <c r="I50" s="247">
        <v>1284824</v>
      </c>
      <c r="J50" s="247">
        <v>1825344</v>
      </c>
      <c r="K50" s="247">
        <v>2089714</v>
      </c>
      <c r="L50" s="265"/>
      <c r="M50" s="265"/>
      <c r="N50" s="265"/>
    </row>
    <row r="51" spans="1:15" s="172" customFormat="1" ht="15.75">
      <c r="A51" s="82"/>
      <c r="B51" s="248" t="s">
        <v>91</v>
      </c>
      <c r="C51" s="248"/>
      <c r="D51" s="249"/>
      <c r="E51" s="249">
        <v>2000000</v>
      </c>
      <c r="F51" s="249">
        <v>-2000000</v>
      </c>
      <c r="G51" s="249"/>
      <c r="H51" s="249"/>
      <c r="I51" s="249"/>
      <c r="J51" s="249"/>
      <c r="K51" s="249"/>
      <c r="L51" s="265"/>
      <c r="M51" s="265"/>
      <c r="N51" s="265"/>
      <c r="O51" s="80"/>
    </row>
    <row r="52" spans="1:15" ht="15.75">
      <c r="A52" s="250"/>
      <c r="B52" s="251"/>
      <c r="C52" s="251"/>
      <c r="D52" s="252"/>
      <c r="E52" s="252"/>
      <c r="F52" s="252"/>
      <c r="G52" s="252"/>
      <c r="H52" s="252"/>
      <c r="I52" s="252"/>
      <c r="J52" s="252"/>
      <c r="K52" s="252"/>
      <c r="L52" s="265"/>
      <c r="M52" s="265"/>
      <c r="N52" s="265"/>
    </row>
    <row r="53" spans="1:15" s="173" customFormat="1" ht="15.75">
      <c r="A53" s="253"/>
      <c r="B53" s="425" t="s">
        <v>92</v>
      </c>
      <c r="C53" s="254" t="s">
        <v>93</v>
      </c>
      <c r="D53" s="255">
        <v>10300</v>
      </c>
      <c r="E53" s="255">
        <v>8400</v>
      </c>
      <c r="F53" s="255">
        <v>42000</v>
      </c>
      <c r="G53" s="255">
        <v>36700</v>
      </c>
      <c r="H53" s="255">
        <v>200</v>
      </c>
      <c r="I53" s="255"/>
      <c r="J53" s="255">
        <v>25000</v>
      </c>
      <c r="K53" s="255">
        <v>213570</v>
      </c>
      <c r="L53" s="265"/>
      <c r="M53" s="265"/>
      <c r="N53" s="265"/>
    </row>
    <row r="54" spans="1:15" s="173" customFormat="1" ht="15.75">
      <c r="A54" s="253"/>
      <c r="B54" s="425"/>
      <c r="C54" s="254" t="s">
        <v>94</v>
      </c>
      <c r="D54" s="255">
        <v>8400</v>
      </c>
      <c r="E54" s="255">
        <v>42000</v>
      </c>
      <c r="F54" s="256">
        <v>36700</v>
      </c>
      <c r="G54" s="255">
        <v>200</v>
      </c>
      <c r="H54" s="255"/>
      <c r="I54" s="255">
        <v>25000</v>
      </c>
      <c r="J54" s="255">
        <v>213570</v>
      </c>
      <c r="K54" s="255">
        <v>34000</v>
      </c>
      <c r="L54" s="265"/>
      <c r="M54" s="265"/>
      <c r="N54" s="265"/>
    </row>
    <row r="55" spans="1:15" s="174" customFormat="1" ht="15.75">
      <c r="A55" s="257"/>
      <c r="B55" s="258"/>
      <c r="C55" s="259"/>
      <c r="D55" s="260"/>
      <c r="E55" s="260"/>
      <c r="F55" s="261"/>
      <c r="G55" s="260"/>
      <c r="H55" s="260"/>
      <c r="I55" s="260"/>
      <c r="J55" s="260"/>
      <c r="K55" s="260"/>
      <c r="L55" s="302"/>
      <c r="M55" s="302"/>
      <c r="N55" s="302"/>
    </row>
    <row r="56" spans="1:15" s="174" customFormat="1" ht="15.75">
      <c r="A56" s="257"/>
      <c r="B56" s="426" t="s">
        <v>95</v>
      </c>
      <c r="C56" s="262"/>
      <c r="D56" s="263"/>
      <c r="E56" s="263"/>
      <c r="F56" s="264">
        <v>0</v>
      </c>
      <c r="G56" s="263">
        <v>241290</v>
      </c>
      <c r="H56" s="263">
        <v>80600</v>
      </c>
      <c r="I56" s="263">
        <v>20980</v>
      </c>
      <c r="J56" s="263">
        <v>75870</v>
      </c>
      <c r="K56" s="263"/>
      <c r="L56" s="302"/>
      <c r="M56" s="302"/>
      <c r="N56" s="302"/>
    </row>
    <row r="57" spans="1:15" s="174" customFormat="1" ht="15.75">
      <c r="A57" s="257"/>
      <c r="B57" s="426"/>
      <c r="C57" s="262"/>
      <c r="D57" s="263"/>
      <c r="E57" s="263"/>
      <c r="F57" s="264">
        <v>241290</v>
      </c>
      <c r="G57" s="263">
        <v>80600</v>
      </c>
      <c r="H57" s="263">
        <v>20980</v>
      </c>
      <c r="I57" s="263">
        <v>75870</v>
      </c>
      <c r="J57" s="263">
        <v>0</v>
      </c>
      <c r="K57" s="263">
        <v>207320</v>
      </c>
      <c r="L57" s="302"/>
      <c r="M57" s="302"/>
      <c r="N57" s="302"/>
    </row>
    <row r="58" spans="1:15" s="80" customFormat="1" ht="15.75">
      <c r="A58" s="82"/>
      <c r="B58" s="265"/>
      <c r="C58" s="265"/>
      <c r="D58" s="175"/>
      <c r="E58" s="175"/>
      <c r="F58" s="175"/>
      <c r="G58" s="175"/>
      <c r="H58" s="175"/>
      <c r="I58" s="175"/>
      <c r="J58" s="175"/>
      <c r="K58" s="175"/>
      <c r="L58" s="265"/>
      <c r="M58" s="265"/>
      <c r="N58" s="265"/>
    </row>
    <row r="59" spans="1:15" s="172" customFormat="1" ht="15.75">
      <c r="A59" s="82"/>
      <c r="B59" s="427" t="s">
        <v>96</v>
      </c>
      <c r="C59" s="266" t="s">
        <v>93</v>
      </c>
      <c r="D59" s="267">
        <v>-3608</v>
      </c>
      <c r="E59" s="267">
        <f>D60</f>
        <v>-981.49</v>
      </c>
      <c r="F59" s="267">
        <v>0</v>
      </c>
      <c r="G59" s="267"/>
      <c r="H59" s="267"/>
      <c r="I59" s="267"/>
      <c r="J59" s="267"/>
      <c r="K59" s="267">
        <v>856</v>
      </c>
      <c r="L59" s="265"/>
      <c r="M59" s="265"/>
      <c r="N59" s="265"/>
      <c r="O59" s="80"/>
    </row>
    <row r="60" spans="1:15" s="172" customFormat="1" ht="15.75">
      <c r="A60" s="82"/>
      <c r="B60" s="427"/>
      <c r="C60" s="266" t="s">
        <v>94</v>
      </c>
      <c r="D60" s="267">
        <v>-981.49</v>
      </c>
      <c r="E60" s="267">
        <v>0</v>
      </c>
      <c r="F60" s="267">
        <v>-145</v>
      </c>
      <c r="G60" s="267"/>
      <c r="H60" s="267"/>
      <c r="I60" s="267">
        <v>0</v>
      </c>
      <c r="J60" s="267">
        <v>856</v>
      </c>
      <c r="K60" s="267">
        <v>1091</v>
      </c>
      <c r="L60" s="265"/>
      <c r="M60" s="265"/>
      <c r="N60" s="265"/>
      <c r="O60" s="80"/>
    </row>
    <row r="61" spans="1:15" s="80" customFormat="1" ht="15.75">
      <c r="A61" s="82"/>
      <c r="B61" s="265"/>
      <c r="C61" s="265"/>
      <c r="D61" s="175"/>
      <c r="E61" s="175"/>
      <c r="F61" s="175"/>
      <c r="G61" s="175"/>
      <c r="H61" s="175"/>
      <c r="I61" s="175"/>
      <c r="J61" s="175"/>
      <c r="K61" s="175"/>
      <c r="L61" s="265"/>
      <c r="M61" s="265"/>
      <c r="N61" s="265"/>
    </row>
    <row r="62" spans="1:15" s="80" customFormat="1" ht="15.75">
      <c r="A62" s="82"/>
      <c r="B62" s="428" t="s">
        <v>97</v>
      </c>
      <c r="C62" s="268" t="s">
        <v>98</v>
      </c>
      <c r="D62" s="269">
        <v>3470709.04</v>
      </c>
      <c r="E62" s="269">
        <v>5839570.7300000004</v>
      </c>
      <c r="F62" s="269">
        <v>6572045.8499999996</v>
      </c>
      <c r="G62" s="269">
        <v>4214426</v>
      </c>
      <c r="H62" s="269">
        <v>4288650</v>
      </c>
      <c r="I62" s="269">
        <v>4260703</v>
      </c>
      <c r="J62" s="269">
        <v>4073916</v>
      </c>
      <c r="K62" s="269">
        <v>3812795</v>
      </c>
      <c r="L62" s="265"/>
      <c r="M62" s="265"/>
      <c r="N62" s="265"/>
    </row>
    <row r="63" spans="1:15" s="80" customFormat="1" ht="15.75">
      <c r="A63" s="82"/>
      <c r="B63" s="428"/>
      <c r="C63" s="268" t="s">
        <v>99</v>
      </c>
      <c r="D63" s="269">
        <v>4198917.79</v>
      </c>
      <c r="E63" s="269">
        <v>7002597.1799999997</v>
      </c>
      <c r="F63" s="269">
        <v>5515828.7999999998</v>
      </c>
      <c r="G63" s="269">
        <v>4621090</v>
      </c>
      <c r="H63" s="269">
        <v>4079355</v>
      </c>
      <c r="I63" s="269">
        <v>4152277</v>
      </c>
      <c r="J63" s="269">
        <v>3533396</v>
      </c>
      <c r="K63" s="269">
        <v>3548425</v>
      </c>
      <c r="L63" s="265"/>
      <c r="M63" s="265"/>
      <c r="N63" s="265"/>
    </row>
    <row r="64" spans="1:15" s="80" customFormat="1" ht="15.75">
      <c r="A64" s="82"/>
      <c r="B64" s="265"/>
      <c r="C64" s="265"/>
      <c r="D64" s="175"/>
      <c r="E64" s="175"/>
      <c r="F64" s="175"/>
      <c r="G64" s="175"/>
      <c r="H64" s="175"/>
      <c r="I64" s="175"/>
      <c r="J64" s="175"/>
      <c r="K64" s="175"/>
      <c r="L64" s="265"/>
      <c r="M64" s="265"/>
      <c r="N64" s="265"/>
    </row>
    <row r="65" spans="1:15" s="80" customFormat="1" ht="15.75">
      <c r="A65" s="82"/>
      <c r="B65" s="424" t="s">
        <v>100</v>
      </c>
      <c r="C65" s="424"/>
      <c r="D65" s="269">
        <v>0</v>
      </c>
      <c r="E65" s="269">
        <v>100000</v>
      </c>
      <c r="F65" s="269"/>
      <c r="G65" s="269"/>
      <c r="H65" s="269"/>
      <c r="I65" s="269"/>
      <c r="J65" s="269"/>
      <c r="K65" s="269"/>
      <c r="L65" s="265"/>
      <c r="M65" s="265"/>
      <c r="N65" s="265"/>
    </row>
    <row r="66" spans="1:15" s="80" customFormat="1" ht="15.75">
      <c r="A66" s="82"/>
      <c r="B66" s="423" t="s">
        <v>101</v>
      </c>
      <c r="C66" s="303" t="s">
        <v>98</v>
      </c>
      <c r="D66" s="304">
        <f>D62-D15</f>
        <v>0</v>
      </c>
      <c r="E66" s="304">
        <f>E62-E15+канализация!C12-E65</f>
        <v>8.1490725278854401E-10</v>
      </c>
      <c r="F66" s="304">
        <f>F62-F15-F65+F51</f>
        <v>0</v>
      </c>
      <c r="G66" s="304"/>
      <c r="H66" s="304"/>
      <c r="I66" s="304"/>
      <c r="J66" s="304"/>
      <c r="K66" s="304"/>
      <c r="L66" s="265"/>
      <c r="M66" s="265"/>
      <c r="N66" s="265"/>
    </row>
    <row r="67" spans="1:15" s="175" customFormat="1" ht="15.75">
      <c r="B67" s="423"/>
      <c r="C67" s="303" t="s">
        <v>99</v>
      </c>
      <c r="D67" s="304">
        <f>D63-D48+D60-D59-D12</f>
        <v>-0.19999999996252882</v>
      </c>
      <c r="E67" s="304">
        <f>E63-E48+E60-E59-E12-E51-E65</f>
        <v>0.37999999895691899</v>
      </c>
      <c r="F67" s="304">
        <f>F63-F48+F60-F59-F12-F65</f>
        <v>0</v>
      </c>
      <c r="G67" s="304">
        <f>G63-G48+G60-G59-G12</f>
        <v>0</v>
      </c>
      <c r="H67" s="304">
        <f>H63-H48+H60-H59-H12</f>
        <v>0</v>
      </c>
      <c r="I67" s="304">
        <f>I63-I48+I60-I59-I12</f>
        <v>0</v>
      </c>
      <c r="J67" s="304">
        <f>J63-J48+J60-J59-J12</f>
        <v>0</v>
      </c>
      <c r="K67" s="304">
        <f>K63-K48+K60-K59-K12</f>
        <v>0</v>
      </c>
      <c r="L67" s="310"/>
    </row>
    <row r="68" spans="1:15" s="176" customFormat="1">
      <c r="A68" s="305"/>
      <c r="B68" s="423"/>
      <c r="C68" s="306" t="s">
        <v>102</v>
      </c>
      <c r="D68" s="307">
        <f>B4+D15-D48-D50-D59+D60-D12</f>
        <v>-0.19999999949686753</v>
      </c>
      <c r="E68" s="307">
        <f>D50+E15-E48-E50-E59+E60-E12-E51-канализация!C12</f>
        <v>0.379999998374842</v>
      </c>
      <c r="F68" s="307">
        <f>E50+F15-F48-F50-F59+F60-F12+F65-F51</f>
        <v>0</v>
      </c>
      <c r="G68" s="307"/>
      <c r="H68" s="307"/>
      <c r="I68" s="307"/>
      <c r="J68" s="307"/>
      <c r="K68" s="307"/>
      <c r="L68" s="308"/>
      <c r="M68" s="308"/>
      <c r="N68" s="308"/>
    </row>
    <row r="69" spans="1:15" s="176" customFormat="1">
      <c r="A69" s="305"/>
      <c r="B69" s="308"/>
      <c r="C69" s="308"/>
      <c r="D69" s="309"/>
      <c r="E69" s="309"/>
      <c r="F69" s="309"/>
      <c r="G69" s="309"/>
      <c r="H69" s="309"/>
      <c r="I69" s="309"/>
      <c r="J69" s="309"/>
      <c r="K69" s="309"/>
      <c r="L69" s="308"/>
      <c r="M69" s="308"/>
      <c r="N69" s="308"/>
    </row>
    <row r="70" spans="1:15" s="177" customFormat="1">
      <c r="A70" s="178"/>
      <c r="B70" s="179"/>
      <c r="C70" s="179"/>
      <c r="D70" s="309"/>
      <c r="E70" s="309"/>
      <c r="F70" s="309"/>
      <c r="G70" s="309"/>
      <c r="H70" s="309"/>
      <c r="I70" s="309"/>
      <c r="J70" s="309"/>
      <c r="K70" s="309"/>
      <c r="L70" s="308"/>
      <c r="M70" s="308"/>
      <c r="N70" s="308"/>
      <c r="O70" s="176"/>
    </row>
    <row r="71" spans="1:15" s="177" customFormat="1">
      <c r="A71" s="178"/>
      <c r="B71" s="179"/>
      <c r="C71" s="179"/>
      <c r="D71" s="309"/>
      <c r="E71" s="309"/>
      <c r="F71" s="309"/>
      <c r="G71" s="309"/>
      <c r="H71" s="309"/>
      <c r="I71" s="309"/>
      <c r="J71" s="309"/>
      <c r="K71" s="309"/>
      <c r="L71" s="308"/>
      <c r="M71" s="308"/>
      <c r="N71" s="308"/>
      <c r="O71" s="176"/>
    </row>
    <row r="72" spans="1:15" s="177" customFormat="1">
      <c r="A72" s="178"/>
      <c r="B72" s="179"/>
      <c r="C72" s="179"/>
      <c r="D72" s="309"/>
      <c r="E72" s="309"/>
      <c r="F72" s="309"/>
      <c r="G72" s="309"/>
      <c r="H72" s="309"/>
      <c r="I72" s="309"/>
      <c r="J72" s="309"/>
      <c r="K72" s="309"/>
      <c r="L72" s="308"/>
      <c r="M72" s="308"/>
      <c r="N72" s="308"/>
      <c r="O72" s="176"/>
    </row>
    <row r="73" spans="1:15">
      <c r="D73" s="309"/>
      <c r="E73" s="309"/>
      <c r="F73" s="309"/>
      <c r="G73" s="309"/>
      <c r="H73" s="309"/>
      <c r="I73" s="309"/>
      <c r="J73" s="309"/>
      <c r="K73" s="309"/>
      <c r="L73" s="308"/>
      <c r="M73" s="308"/>
      <c r="N73" s="308"/>
      <c r="O73" s="176"/>
    </row>
    <row r="75" spans="1:15" ht="15.75" customHeight="1"/>
    <row r="76" spans="1:15" ht="15.75" customHeight="1"/>
    <row r="77" spans="1:15" ht="15.75" customHeight="1"/>
  </sheetData>
  <mergeCells count="6">
    <mergeCell ref="B66:B68"/>
    <mergeCell ref="B65:C65"/>
    <mergeCell ref="B53:B54"/>
    <mergeCell ref="B56:B57"/>
    <mergeCell ref="B59:B60"/>
    <mergeCell ref="B62:B63"/>
  </mergeCells>
  <pageMargins left="0.25" right="0.25" top="0.75" bottom="0.75" header="0.3" footer="0.3"/>
  <pageSetup paperSize="9" scale="46" firstPageNumber="4294967295" orientation="landscape" useFirstPageNumber="1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ColWidth="9" defaultRowHeight="15"/>
  <cols>
    <col min="4" max="4" width="9.85546875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>
      <c r="A1" s="126" t="s">
        <v>103</v>
      </c>
      <c r="B1" s="127"/>
      <c r="C1" s="127"/>
      <c r="D1" s="127"/>
      <c r="E1" s="127"/>
      <c r="F1" s="126"/>
      <c r="G1" s="128"/>
      <c r="H1" s="129" t="s">
        <v>104</v>
      </c>
      <c r="I1" s="129"/>
      <c r="J1" s="129"/>
      <c r="K1" s="129"/>
      <c r="L1" s="129"/>
      <c r="M1" s="129"/>
      <c r="N1" s="129"/>
      <c r="O1" s="128"/>
      <c r="P1" s="128"/>
      <c r="Q1" s="128"/>
      <c r="R1" s="128"/>
      <c r="S1" s="128"/>
      <c r="T1" s="128"/>
    </row>
    <row r="2" spans="1:21">
      <c r="A2" s="130" t="s">
        <v>105</v>
      </c>
      <c r="B2" s="131"/>
      <c r="C2" s="131"/>
      <c r="D2" s="131"/>
      <c r="E2" s="131"/>
      <c r="F2" s="429" t="s">
        <v>106</v>
      </c>
      <c r="G2" s="132" t="s">
        <v>107</v>
      </c>
      <c r="H2" s="133" t="s">
        <v>108</v>
      </c>
      <c r="I2" s="133"/>
      <c r="J2" s="133"/>
      <c r="K2" s="133"/>
      <c r="L2" s="133"/>
      <c r="M2" s="133"/>
      <c r="N2" s="133"/>
      <c r="O2" s="133"/>
      <c r="P2" s="133"/>
      <c r="Q2" s="133"/>
      <c r="R2" s="158"/>
      <c r="S2" s="158"/>
      <c r="T2" s="132" t="s">
        <v>109</v>
      </c>
    </row>
    <row r="3" spans="1:21">
      <c r="A3" s="134"/>
      <c r="B3" s="135"/>
      <c r="C3" s="135"/>
      <c r="D3" s="135"/>
      <c r="E3" s="135"/>
      <c r="F3" s="430"/>
      <c r="G3" s="136" t="s">
        <v>110</v>
      </c>
      <c r="H3" s="137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14</v>
      </c>
      <c r="O3" s="156" t="s">
        <v>15</v>
      </c>
      <c r="P3" s="156" t="s">
        <v>16</v>
      </c>
      <c r="Q3" s="156" t="s">
        <v>17</v>
      </c>
      <c r="R3" s="159" t="s">
        <v>18</v>
      </c>
      <c r="S3" s="159" t="s">
        <v>19</v>
      </c>
      <c r="T3" s="136"/>
    </row>
    <row r="4" spans="1:21">
      <c r="A4" s="138" t="s">
        <v>111</v>
      </c>
      <c r="B4" s="139"/>
      <c r="C4" s="139"/>
      <c r="D4" s="139"/>
      <c r="E4" s="139"/>
      <c r="F4" s="140">
        <v>25090303</v>
      </c>
      <c r="G4" s="140">
        <f>F4/12</f>
        <v>2090858.58333333</v>
      </c>
      <c r="H4" s="141">
        <v>2150745</v>
      </c>
      <c r="I4" s="143"/>
      <c r="J4" s="143"/>
      <c r="K4" s="143"/>
      <c r="L4" s="143"/>
      <c r="M4" s="143"/>
      <c r="N4" s="143"/>
      <c r="O4" s="143"/>
      <c r="P4" s="143"/>
      <c r="Q4" s="143"/>
      <c r="R4" s="160"/>
      <c r="S4" s="160"/>
      <c r="T4" s="161">
        <f t="shared" ref="T4:T9" si="0">SUM(H4:S4)</f>
        <v>2150745</v>
      </c>
      <c r="U4" s="162"/>
    </row>
    <row r="5" spans="1:21">
      <c r="A5" s="138" t="s">
        <v>112</v>
      </c>
      <c r="B5" s="139"/>
      <c r="C5" s="139"/>
      <c r="D5" s="139"/>
      <c r="E5" s="139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63"/>
      <c r="S5" s="160"/>
      <c r="T5" s="161">
        <f t="shared" si="0"/>
        <v>0</v>
      </c>
    </row>
    <row r="6" spans="1:21">
      <c r="A6" s="138" t="s">
        <v>113</v>
      </c>
      <c r="B6" s="139"/>
      <c r="C6" s="139"/>
      <c r="D6" s="139"/>
      <c r="E6" s="139"/>
      <c r="F6" s="142"/>
      <c r="G6" s="142"/>
      <c r="H6" s="141">
        <v>36280</v>
      </c>
      <c r="I6" s="143"/>
      <c r="J6" s="143"/>
      <c r="K6" s="143"/>
      <c r="L6" s="143"/>
      <c r="M6" s="143"/>
      <c r="N6" s="143"/>
      <c r="O6" s="143"/>
      <c r="P6" s="143"/>
      <c r="Q6" s="143"/>
      <c r="R6" s="160"/>
      <c r="S6" s="160"/>
      <c r="T6" s="161">
        <f t="shared" si="0"/>
        <v>36280</v>
      </c>
    </row>
    <row r="7" spans="1:21">
      <c r="A7" s="138" t="s">
        <v>114</v>
      </c>
      <c r="B7" s="139"/>
      <c r="C7" s="139"/>
      <c r="D7" s="139"/>
      <c r="E7" s="139"/>
      <c r="F7" s="142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60"/>
      <c r="S7" s="160"/>
      <c r="T7" s="161">
        <f t="shared" si="0"/>
        <v>0</v>
      </c>
      <c r="U7" s="131"/>
    </row>
    <row r="8" spans="1:21">
      <c r="A8" s="138" t="s">
        <v>115</v>
      </c>
      <c r="B8" s="139"/>
      <c r="C8" s="139"/>
      <c r="D8" s="139"/>
      <c r="E8" s="139"/>
      <c r="F8" s="142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60"/>
      <c r="S8" s="160"/>
      <c r="T8" s="161">
        <f t="shared" si="0"/>
        <v>0</v>
      </c>
    </row>
    <row r="9" spans="1:21">
      <c r="A9" s="142" t="s">
        <v>116</v>
      </c>
      <c r="B9" s="138"/>
      <c r="C9" s="139"/>
      <c r="D9" s="139"/>
      <c r="E9" s="139"/>
      <c r="F9" s="142"/>
      <c r="G9" s="142"/>
      <c r="H9" s="141">
        <f>15000+99836+10860</f>
        <v>125696</v>
      </c>
      <c r="I9" s="143"/>
      <c r="J9" s="142"/>
      <c r="K9" s="142"/>
      <c r="L9" s="142"/>
      <c r="M9" s="142"/>
      <c r="N9" s="142"/>
      <c r="O9" s="142"/>
      <c r="P9" s="143"/>
      <c r="Q9" s="142"/>
      <c r="R9" s="163"/>
      <c r="S9" s="163"/>
      <c r="T9" s="161">
        <f t="shared" si="0"/>
        <v>125696</v>
      </c>
    </row>
    <row r="10" spans="1:21" ht="15.75">
      <c r="A10" s="79"/>
      <c r="B10" s="144" t="s">
        <v>117</v>
      </c>
      <c r="C10" s="144"/>
      <c r="D10" s="144"/>
      <c r="E10" s="144"/>
      <c r="F10" s="145">
        <f>SUM(F4:F9)</f>
        <v>25090303</v>
      </c>
      <c r="G10" s="145">
        <f>SUM(G4:G9)</f>
        <v>2090858.58333333</v>
      </c>
      <c r="H10" s="146">
        <f>SUM(H4:H9)</f>
        <v>2312721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60"/>
      <c r="S10" s="160"/>
      <c r="T10" s="161">
        <f>SUM(T4:T9)</f>
        <v>2312721</v>
      </c>
    </row>
    <row r="11" spans="1:21">
      <c r="A11" s="139"/>
      <c r="B11" s="139"/>
      <c r="C11" s="139"/>
      <c r="D11" s="139"/>
      <c r="E11" s="139"/>
      <c r="F11" s="127" t="s">
        <v>118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64"/>
      <c r="S11" s="164"/>
      <c r="T11" s="127"/>
      <c r="U11" s="165" t="s">
        <v>119</v>
      </c>
    </row>
    <row r="12" spans="1:21">
      <c r="A12" s="138" t="s">
        <v>28</v>
      </c>
      <c r="B12" s="139"/>
      <c r="C12" s="139"/>
      <c r="D12" s="139"/>
      <c r="E12" s="139"/>
      <c r="F12" s="147">
        <v>900000</v>
      </c>
      <c r="G12" s="147">
        <f t="shared" ref="G12:G32" si="1">F12/12</f>
        <v>75000</v>
      </c>
      <c r="H12" s="148">
        <v>63332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60"/>
      <c r="S12" s="160"/>
      <c r="T12" s="166">
        <f t="shared" ref="T12:T32" si="2">SUM(H12:S12)</f>
        <v>63332</v>
      </c>
      <c r="U12" s="167">
        <f t="shared" ref="U12:U32" si="3">G12*12-T12</f>
        <v>836668</v>
      </c>
    </row>
    <row r="13" spans="1:21">
      <c r="A13" s="134" t="s">
        <v>29</v>
      </c>
      <c r="B13" s="135"/>
      <c r="C13" s="135"/>
      <c r="D13" s="135"/>
      <c r="E13" s="135"/>
      <c r="F13" s="149">
        <v>160000</v>
      </c>
      <c r="G13" s="147">
        <f t="shared" si="1"/>
        <v>13333.333333333299</v>
      </c>
      <c r="H13" s="150">
        <v>11634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68"/>
      <c r="S13" s="168"/>
      <c r="T13" s="161">
        <f t="shared" si="2"/>
        <v>11634</v>
      </c>
      <c r="U13" s="169">
        <f t="shared" si="3"/>
        <v>148366</v>
      </c>
    </row>
    <row r="14" spans="1:21">
      <c r="A14" s="138" t="s">
        <v>30</v>
      </c>
      <c r="B14" s="139"/>
      <c r="C14" s="139"/>
      <c r="D14" s="139"/>
      <c r="E14" s="151"/>
      <c r="F14" s="147">
        <v>140000</v>
      </c>
      <c r="G14" s="147">
        <f t="shared" si="1"/>
        <v>11666.666666666701</v>
      </c>
      <c r="H14" s="148">
        <v>6336</v>
      </c>
      <c r="I14" s="143"/>
      <c r="J14" s="143"/>
      <c r="K14" s="143"/>
      <c r="L14" s="143"/>
      <c r="M14" s="143"/>
      <c r="N14" s="143"/>
      <c r="O14" s="143"/>
      <c r="P14" s="143"/>
      <c r="Q14" s="143"/>
      <c r="R14" s="160"/>
      <c r="S14" s="160"/>
      <c r="T14" s="161">
        <f t="shared" si="2"/>
        <v>6336</v>
      </c>
      <c r="U14" s="167">
        <f t="shared" si="3"/>
        <v>133664</v>
      </c>
    </row>
    <row r="15" spans="1:21">
      <c r="A15" s="134" t="s">
        <v>31</v>
      </c>
      <c r="B15" s="135"/>
      <c r="C15" s="135"/>
      <c r="D15" s="135"/>
      <c r="E15" s="152"/>
      <c r="F15" s="149">
        <v>300000</v>
      </c>
      <c r="G15" s="147">
        <f t="shared" si="1"/>
        <v>25000</v>
      </c>
      <c r="H15" s="150">
        <v>70000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68"/>
      <c r="S15" s="168"/>
      <c r="T15" s="161">
        <f t="shared" si="2"/>
        <v>70000</v>
      </c>
      <c r="U15" s="169">
        <f t="shared" si="3"/>
        <v>230000</v>
      </c>
    </row>
    <row r="16" spans="1:21">
      <c r="A16" s="134" t="s">
        <v>32</v>
      </c>
      <c r="B16" s="135"/>
      <c r="C16" s="135"/>
      <c r="D16" s="135"/>
      <c r="E16" s="152"/>
      <c r="F16" s="149">
        <v>7890000</v>
      </c>
      <c r="G16" s="147">
        <f t="shared" si="1"/>
        <v>657500</v>
      </c>
      <c r="H16" s="150">
        <v>729871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68"/>
      <c r="S16" s="168"/>
      <c r="T16" s="161">
        <f t="shared" si="2"/>
        <v>729871</v>
      </c>
      <c r="U16" s="167">
        <f t="shared" si="3"/>
        <v>7160129</v>
      </c>
    </row>
    <row r="17" spans="1:23">
      <c r="A17" s="134" t="s">
        <v>33</v>
      </c>
      <c r="B17" s="135"/>
      <c r="C17" s="135"/>
      <c r="D17" s="135"/>
      <c r="E17" s="135"/>
      <c r="F17" s="149">
        <v>500000</v>
      </c>
      <c r="G17" s="147">
        <f t="shared" si="1"/>
        <v>41666.666666666701</v>
      </c>
      <c r="H17" s="150">
        <v>9200</v>
      </c>
      <c r="I17" s="157"/>
      <c r="J17" s="157"/>
      <c r="K17" s="157"/>
      <c r="L17" s="157"/>
      <c r="M17" s="157"/>
      <c r="N17" s="157"/>
      <c r="O17" s="157"/>
      <c r="P17" s="157"/>
      <c r="Q17" s="157"/>
      <c r="R17" s="168"/>
      <c r="S17" s="168"/>
      <c r="T17" s="161">
        <f t="shared" si="2"/>
        <v>9200</v>
      </c>
      <c r="U17" s="169">
        <f t="shared" si="3"/>
        <v>490800</v>
      </c>
    </row>
    <row r="18" spans="1:23">
      <c r="A18" s="134" t="s">
        <v>34</v>
      </c>
      <c r="B18" s="135"/>
      <c r="C18" s="135"/>
      <c r="D18" s="135"/>
      <c r="E18" s="135"/>
      <c r="F18" s="149">
        <v>2517000</v>
      </c>
      <c r="G18" s="147">
        <f t="shared" si="1"/>
        <v>209750</v>
      </c>
      <c r="H18" s="150">
        <v>215933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68"/>
      <c r="S18" s="168"/>
      <c r="T18" s="161">
        <f t="shared" si="2"/>
        <v>215933</v>
      </c>
      <c r="U18" s="167">
        <f t="shared" si="3"/>
        <v>2301067</v>
      </c>
    </row>
    <row r="19" spans="1:23">
      <c r="A19" s="134" t="s">
        <v>120</v>
      </c>
      <c r="B19" s="135"/>
      <c r="C19" s="135"/>
      <c r="D19" s="135"/>
      <c r="E19" s="135"/>
      <c r="F19" s="149">
        <v>200000</v>
      </c>
      <c r="G19" s="147">
        <f t="shared" si="1"/>
        <v>16666.666666666701</v>
      </c>
      <c r="H19" s="150">
        <v>0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68"/>
      <c r="S19" s="168"/>
      <c r="T19" s="166">
        <f t="shared" si="2"/>
        <v>0</v>
      </c>
      <c r="U19" s="169">
        <f t="shared" si="3"/>
        <v>200000</v>
      </c>
    </row>
    <row r="20" spans="1:23">
      <c r="A20" s="138" t="s">
        <v>36</v>
      </c>
      <c r="B20" s="139"/>
      <c r="C20" s="139"/>
      <c r="D20" s="139"/>
      <c r="E20" s="139"/>
      <c r="F20" s="147">
        <v>1950000</v>
      </c>
      <c r="G20" s="147">
        <f t="shared" si="1"/>
        <v>162500</v>
      </c>
      <c r="H20" s="153">
        <v>179000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60"/>
      <c r="S20" s="160"/>
      <c r="T20" s="161">
        <f t="shared" si="2"/>
        <v>179000</v>
      </c>
      <c r="U20" s="167">
        <f t="shared" si="3"/>
        <v>1771000</v>
      </c>
    </row>
    <row r="21" spans="1:23">
      <c r="A21" s="138" t="s">
        <v>37</v>
      </c>
      <c r="B21" s="139"/>
      <c r="C21" s="139"/>
      <c r="D21" s="139"/>
      <c r="E21" s="151"/>
      <c r="F21" s="147">
        <v>7400000</v>
      </c>
      <c r="G21" s="147">
        <f t="shared" si="1"/>
        <v>616666.66666666698</v>
      </c>
      <c r="H21" s="148">
        <v>566600</v>
      </c>
      <c r="I21" s="143"/>
      <c r="J21" s="143"/>
      <c r="K21" s="143"/>
      <c r="L21" s="143"/>
      <c r="M21" s="143"/>
      <c r="N21" s="143"/>
      <c r="O21" s="143"/>
      <c r="P21" s="143"/>
      <c r="Q21" s="143"/>
      <c r="R21" s="160"/>
      <c r="S21" s="160"/>
      <c r="T21" s="161">
        <f t="shared" si="2"/>
        <v>566600</v>
      </c>
      <c r="U21" s="169">
        <f t="shared" si="3"/>
        <v>6833400</v>
      </c>
    </row>
    <row r="22" spans="1:23">
      <c r="A22" s="134" t="s">
        <v>38</v>
      </c>
      <c r="B22" s="135"/>
      <c r="C22" s="135"/>
      <c r="D22" s="135"/>
      <c r="E22" s="135"/>
      <c r="F22" s="149">
        <v>230000</v>
      </c>
      <c r="G22" s="147">
        <f t="shared" si="1"/>
        <v>19166.666666666701</v>
      </c>
      <c r="H22" s="150">
        <v>17252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68"/>
      <c r="S22" s="168"/>
      <c r="T22" s="161">
        <f t="shared" si="2"/>
        <v>17252</v>
      </c>
      <c r="U22" s="167">
        <f t="shared" si="3"/>
        <v>212748</v>
      </c>
    </row>
    <row r="23" spans="1:23">
      <c r="A23" s="138" t="s">
        <v>39</v>
      </c>
      <c r="B23" s="139"/>
      <c r="C23" s="139"/>
      <c r="D23" s="139"/>
      <c r="E23" s="139"/>
      <c r="F23" s="147">
        <v>1240000</v>
      </c>
      <c r="G23" s="147">
        <f t="shared" si="1"/>
        <v>103333.33333333299</v>
      </c>
      <c r="H23" s="148">
        <v>128037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60"/>
      <c r="S23" s="160"/>
      <c r="T23" s="161">
        <f t="shared" si="2"/>
        <v>128037</v>
      </c>
      <c r="U23" s="169">
        <f t="shared" si="3"/>
        <v>1111963</v>
      </c>
    </row>
    <row r="24" spans="1:23">
      <c r="A24" s="138" t="s">
        <v>121</v>
      </c>
      <c r="B24" s="139"/>
      <c r="C24" s="139"/>
      <c r="D24" s="139"/>
      <c r="E24" s="139"/>
      <c r="F24" s="147">
        <f>250000+480000</f>
        <v>730000</v>
      </c>
      <c r="G24" s="147">
        <f t="shared" si="1"/>
        <v>60833.333333333299</v>
      </c>
      <c r="H24" s="148">
        <v>72400</v>
      </c>
      <c r="I24" s="143"/>
      <c r="J24" s="143"/>
      <c r="K24" s="143"/>
      <c r="L24" s="143"/>
      <c r="M24" s="143"/>
      <c r="N24" s="143"/>
      <c r="O24" s="143"/>
      <c r="P24" s="143"/>
      <c r="Q24" s="143"/>
      <c r="R24" s="160"/>
      <c r="S24" s="160"/>
      <c r="T24" s="161">
        <f t="shared" si="2"/>
        <v>72400</v>
      </c>
      <c r="U24" s="167">
        <f t="shared" si="3"/>
        <v>657600</v>
      </c>
    </row>
    <row r="25" spans="1:23">
      <c r="A25" s="138" t="s">
        <v>41</v>
      </c>
      <c r="B25" s="139"/>
      <c r="C25" s="139"/>
      <c r="D25" s="139"/>
      <c r="E25" s="139"/>
      <c r="F25" s="147">
        <v>250000</v>
      </c>
      <c r="G25" s="147">
        <f t="shared" si="1"/>
        <v>20833.333333333299</v>
      </c>
      <c r="H25" s="148">
        <v>1080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60"/>
      <c r="S25" s="160"/>
      <c r="T25" s="166">
        <f t="shared" si="2"/>
        <v>1080</v>
      </c>
      <c r="U25" s="169">
        <f t="shared" si="3"/>
        <v>248920</v>
      </c>
    </row>
    <row r="26" spans="1:23">
      <c r="A26" s="138" t="s">
        <v>42</v>
      </c>
      <c r="B26" s="139"/>
      <c r="C26" s="139"/>
      <c r="D26" s="139"/>
      <c r="E26" s="139"/>
      <c r="F26" s="147">
        <v>1800000</v>
      </c>
      <c r="G26" s="147">
        <f t="shared" si="1"/>
        <v>150000</v>
      </c>
      <c r="H26" s="148">
        <v>98486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60"/>
      <c r="S26" s="160"/>
      <c r="T26" s="161">
        <f t="shared" si="2"/>
        <v>98486</v>
      </c>
      <c r="U26" s="167">
        <f t="shared" si="3"/>
        <v>1701514</v>
      </c>
    </row>
    <row r="27" spans="1:23">
      <c r="A27" s="138" t="s">
        <v>43</v>
      </c>
      <c r="B27" s="139"/>
      <c r="C27" s="139"/>
      <c r="D27" s="139"/>
      <c r="E27" s="139"/>
      <c r="F27" s="147">
        <v>1700000</v>
      </c>
      <c r="G27" s="147">
        <f t="shared" si="1"/>
        <v>141666.66666666701</v>
      </c>
      <c r="H27" s="153">
        <v>0</v>
      </c>
      <c r="I27" s="143"/>
      <c r="J27" s="143"/>
      <c r="K27" s="142"/>
      <c r="L27" s="142"/>
      <c r="M27" s="142"/>
      <c r="N27" s="143"/>
      <c r="O27" s="143"/>
      <c r="P27" s="143"/>
      <c r="Q27" s="143"/>
      <c r="R27" s="160"/>
      <c r="S27" s="160"/>
      <c r="T27" s="166">
        <f t="shared" si="2"/>
        <v>0</v>
      </c>
      <c r="U27" s="169">
        <f t="shared" si="3"/>
        <v>1700000</v>
      </c>
    </row>
    <row r="28" spans="1:23">
      <c r="A28" s="138" t="s">
        <v>122</v>
      </c>
      <c r="B28" s="139"/>
      <c r="C28" s="139"/>
      <c r="D28" s="139"/>
      <c r="E28" s="139"/>
      <c r="F28" s="147"/>
      <c r="G28" s="147">
        <f t="shared" si="1"/>
        <v>0</v>
      </c>
      <c r="H28" s="143">
        <v>0</v>
      </c>
      <c r="I28" s="143"/>
      <c r="J28" s="143"/>
      <c r="K28" s="142"/>
      <c r="L28" s="142"/>
      <c r="M28" s="142"/>
      <c r="N28" s="143"/>
      <c r="O28" s="143"/>
      <c r="P28" s="143"/>
      <c r="Q28" s="143"/>
      <c r="R28" s="160"/>
      <c r="S28" s="160"/>
      <c r="T28" s="166">
        <f t="shared" si="2"/>
        <v>0</v>
      </c>
      <c r="U28" s="167">
        <f t="shared" si="3"/>
        <v>0</v>
      </c>
    </row>
    <row r="29" spans="1:23">
      <c r="A29" s="138" t="s">
        <v>123</v>
      </c>
      <c r="B29" s="139"/>
      <c r="C29" s="139"/>
      <c r="D29" s="139"/>
      <c r="E29" s="139"/>
      <c r="F29" s="147">
        <v>600000</v>
      </c>
      <c r="G29" s="147">
        <f t="shared" si="1"/>
        <v>50000</v>
      </c>
      <c r="H29" s="148">
        <v>22864</v>
      </c>
      <c r="I29" s="143"/>
      <c r="J29" s="143"/>
      <c r="K29" s="142"/>
      <c r="L29" s="142"/>
      <c r="M29" s="142"/>
      <c r="N29" s="143"/>
      <c r="O29" s="143"/>
      <c r="P29" s="143"/>
      <c r="Q29" s="143"/>
      <c r="R29" s="160"/>
      <c r="S29" s="160"/>
      <c r="T29" s="161">
        <f t="shared" si="2"/>
        <v>22864</v>
      </c>
      <c r="U29" s="169">
        <f t="shared" si="3"/>
        <v>577136</v>
      </c>
    </row>
    <row r="30" spans="1:23">
      <c r="A30" s="138" t="s">
        <v>45</v>
      </c>
      <c r="B30" s="139"/>
      <c r="C30" s="139"/>
      <c r="D30" s="139"/>
      <c r="E30" s="139"/>
      <c r="F30" s="147">
        <v>250000</v>
      </c>
      <c r="G30" s="147">
        <f t="shared" si="1"/>
        <v>20833.333333333299</v>
      </c>
      <c r="H30" s="148">
        <v>11304</v>
      </c>
      <c r="I30" s="143"/>
      <c r="J30" s="143"/>
      <c r="K30" s="143"/>
      <c r="L30" s="143"/>
      <c r="M30" s="143"/>
      <c r="N30" s="143"/>
      <c r="O30" s="143"/>
      <c r="P30" s="143"/>
      <c r="Q30" s="143"/>
      <c r="R30" s="160"/>
      <c r="S30" s="160"/>
      <c r="T30" s="161">
        <f t="shared" si="2"/>
        <v>11304</v>
      </c>
      <c r="U30" s="167">
        <f t="shared" si="3"/>
        <v>238696</v>
      </c>
    </row>
    <row r="31" spans="1:23">
      <c r="A31" s="138" t="s">
        <v>124</v>
      </c>
      <c r="B31" s="139"/>
      <c r="C31" s="139"/>
      <c r="D31" s="139"/>
      <c r="E31" s="139"/>
      <c r="F31" s="147">
        <v>719200</v>
      </c>
      <c r="G31" s="147">
        <f t="shared" si="1"/>
        <v>59933.333333333299</v>
      </c>
      <c r="H31" s="143">
        <v>0</v>
      </c>
      <c r="I31" s="143"/>
      <c r="J31" s="143"/>
      <c r="K31" s="143"/>
      <c r="L31" s="143"/>
      <c r="M31" s="143"/>
      <c r="N31" s="143"/>
      <c r="O31" s="143"/>
      <c r="P31" s="143"/>
      <c r="Q31" s="143"/>
      <c r="R31" s="160"/>
      <c r="S31" s="160"/>
      <c r="T31" s="161">
        <f t="shared" si="2"/>
        <v>0</v>
      </c>
      <c r="U31" s="169">
        <f t="shared" si="3"/>
        <v>719200</v>
      </c>
    </row>
    <row r="32" spans="1:23">
      <c r="A32" s="138" t="s">
        <v>47</v>
      </c>
      <c r="B32" s="139"/>
      <c r="C32" s="139"/>
      <c r="D32" s="139"/>
      <c r="E32" s="139"/>
      <c r="F32" s="147">
        <v>1473800</v>
      </c>
      <c r="G32" s="147">
        <f t="shared" si="1"/>
        <v>122816.66666666701</v>
      </c>
      <c r="H32" s="143">
        <v>0</v>
      </c>
      <c r="I32" s="143"/>
      <c r="J32" s="143"/>
      <c r="K32" s="142"/>
      <c r="L32" s="142"/>
      <c r="M32" s="142"/>
      <c r="N32" s="143"/>
      <c r="O32" s="143"/>
      <c r="P32" s="143"/>
      <c r="Q32" s="143"/>
      <c r="R32" s="160"/>
      <c r="S32" s="160"/>
      <c r="T32" s="166">
        <f t="shared" si="2"/>
        <v>0</v>
      </c>
      <c r="U32" s="169">
        <f t="shared" si="3"/>
        <v>1473800</v>
      </c>
      <c r="V32" s="131"/>
      <c r="W32" s="131"/>
    </row>
    <row r="33" spans="1:21" ht="15.75">
      <c r="A33" s="154" t="s">
        <v>125</v>
      </c>
      <c r="B33" s="127"/>
      <c r="C33" s="139"/>
      <c r="D33" s="139"/>
      <c r="E33" s="139"/>
      <c r="F33" s="155">
        <f>SUM(F12:F32)</f>
        <v>30950000</v>
      </c>
      <c r="G33" s="155">
        <f>SUM(G12:G32)</f>
        <v>2579166.6666666698</v>
      </c>
      <c r="H33" s="155">
        <f>SUM(H12:H32)</f>
        <v>2203329</v>
      </c>
      <c r="I33" s="143">
        <f t="shared" ref="I33:U33" si="4">SUM(I12:I32)</f>
        <v>0</v>
      </c>
      <c r="J33" s="143">
        <f t="shared" si="4"/>
        <v>0</v>
      </c>
      <c r="K33" s="143">
        <f t="shared" si="4"/>
        <v>0</v>
      </c>
      <c r="L33" s="143">
        <f t="shared" si="4"/>
        <v>0</v>
      </c>
      <c r="M33" s="143">
        <f t="shared" si="4"/>
        <v>0</v>
      </c>
      <c r="N33" s="143">
        <f t="shared" si="4"/>
        <v>0</v>
      </c>
      <c r="O33" s="143">
        <f t="shared" si="4"/>
        <v>0</v>
      </c>
      <c r="P33" s="143">
        <f t="shared" si="4"/>
        <v>0</v>
      </c>
      <c r="Q33" s="143">
        <f t="shared" si="4"/>
        <v>0</v>
      </c>
      <c r="R33" s="160">
        <f t="shared" si="4"/>
        <v>0</v>
      </c>
      <c r="S33" s="160">
        <f t="shared" si="4"/>
        <v>0</v>
      </c>
      <c r="T33" s="161">
        <f t="shared" si="4"/>
        <v>2203329</v>
      </c>
      <c r="U33" s="167">
        <f t="shared" si="4"/>
        <v>28746671</v>
      </c>
    </row>
    <row r="35" spans="1:21">
      <c r="Q35" s="170"/>
    </row>
    <row r="37" spans="1:21">
      <c r="T37" s="162"/>
    </row>
    <row r="40" spans="1:21">
      <c r="O40" s="131"/>
    </row>
  </sheetData>
  <mergeCells count="1">
    <mergeCell ref="F2:F3"/>
  </mergeCells>
  <pageMargins left="0.70866141732283505" right="0.70866141732283505" top="0" bottom="0" header="0" footer="0"/>
  <pageSetup paperSize="9" firstPageNumber="4294967295" orientation="landscape" useFirstPageNumber="1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16"/>
  <sheetViews>
    <sheetView zoomScale="115" zoomScaleNormal="115" workbookViewId="0">
      <selection activeCell="I14" sqref="I14"/>
    </sheetView>
  </sheetViews>
  <sheetFormatPr defaultColWidth="9" defaultRowHeight="15"/>
  <cols>
    <col min="1" max="1" width="36" style="25" customWidth="1"/>
    <col min="2" max="2" width="12.7109375" style="47" customWidth="1"/>
    <col min="3" max="3" width="13.7109375" style="47" customWidth="1"/>
    <col min="4" max="4" width="9.28515625" style="47" customWidth="1"/>
    <col min="5" max="5" width="10.85546875" style="47" customWidth="1"/>
    <col min="6" max="6" width="10.28515625" style="47" customWidth="1"/>
    <col min="7" max="7" width="11.7109375" style="47" customWidth="1"/>
    <col min="8" max="8" width="10.28515625" style="47" customWidth="1"/>
    <col min="9" max="9" width="9.28515625" style="47" customWidth="1"/>
    <col min="10" max="11" width="10.28515625" style="47" customWidth="1"/>
    <col min="12" max="12" width="9.28515625" style="47" customWidth="1"/>
    <col min="13" max="13" width="11.85546875" style="47" customWidth="1"/>
    <col min="14" max="14" width="10.28515625" style="102" customWidth="1"/>
  </cols>
  <sheetData>
    <row r="1" spans="1:14">
      <c r="A1" s="28" t="s">
        <v>28</v>
      </c>
      <c r="B1" s="103" t="str">
        <f>'ВСЕ затраты'!B1</f>
        <v>2024-2025гг.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19"/>
    </row>
    <row r="2" spans="1:14">
      <c r="A2" s="30"/>
      <c r="B2" s="9" t="s">
        <v>9</v>
      </c>
      <c r="C2" s="56" t="s">
        <v>14</v>
      </c>
      <c r="D2" s="74" t="s">
        <v>15</v>
      </c>
      <c r="E2" s="56" t="s">
        <v>16</v>
      </c>
      <c r="F2" s="56" t="s">
        <v>17</v>
      </c>
      <c r="G2" s="56" t="s">
        <v>18</v>
      </c>
      <c r="H2" s="56" t="s">
        <v>19</v>
      </c>
      <c r="I2" s="56" t="s">
        <v>4</v>
      </c>
      <c r="J2" s="56" t="s">
        <v>5</v>
      </c>
      <c r="K2" s="56" t="s">
        <v>6</v>
      </c>
      <c r="L2" s="56" t="s">
        <v>7</v>
      </c>
      <c r="M2" s="56" t="s">
        <v>8</v>
      </c>
      <c r="N2" s="120" t="s">
        <v>126</v>
      </c>
    </row>
    <row r="3" spans="1:14">
      <c r="A3" s="105" t="s">
        <v>127</v>
      </c>
      <c r="B3" s="106">
        <v>11000</v>
      </c>
      <c r="C3" s="106">
        <v>11000</v>
      </c>
      <c r="D3" s="107"/>
      <c r="E3" s="106"/>
      <c r="F3" s="106"/>
      <c r="G3" s="106"/>
      <c r="H3" s="106"/>
      <c r="I3" s="106"/>
      <c r="J3" s="106"/>
      <c r="K3" s="106"/>
      <c r="L3" s="106"/>
      <c r="M3" s="106"/>
      <c r="N3" s="121">
        <f t="shared" ref="N3:N18" si="0">SUM(B3:M3)</f>
        <v>22000</v>
      </c>
    </row>
    <row r="4" spans="1:14">
      <c r="A4" s="105" t="s">
        <v>128</v>
      </c>
      <c r="B4" s="106">
        <v>9000</v>
      </c>
      <c r="C4" s="108">
        <v>9000</v>
      </c>
      <c r="D4" s="109">
        <v>9000</v>
      </c>
      <c r="E4" s="108"/>
      <c r="F4" s="108"/>
      <c r="G4" s="108"/>
      <c r="H4" s="108"/>
      <c r="I4" s="108"/>
      <c r="J4" s="108"/>
      <c r="K4" s="108"/>
      <c r="L4" s="108"/>
      <c r="M4" s="108"/>
      <c r="N4" s="121">
        <f t="shared" si="0"/>
        <v>27000</v>
      </c>
    </row>
    <row r="5" spans="1:14">
      <c r="A5" s="105" t="s">
        <v>129</v>
      </c>
      <c r="B5" s="106">
        <v>8502.85</v>
      </c>
      <c r="C5" s="106">
        <v>12309.94</v>
      </c>
      <c r="D5" s="106">
        <v>5704.3</v>
      </c>
      <c r="E5" s="106">
        <v>11323</v>
      </c>
      <c r="F5" s="106">
        <v>7762</v>
      </c>
      <c r="G5" s="106">
        <v>7519</v>
      </c>
      <c r="H5" s="106">
        <v>17443</v>
      </c>
      <c r="I5" s="106">
        <v>14540</v>
      </c>
      <c r="J5" s="106"/>
      <c r="K5" s="106"/>
      <c r="L5" s="106"/>
      <c r="M5" s="106"/>
      <c r="N5" s="121">
        <f t="shared" si="0"/>
        <v>85104.09</v>
      </c>
    </row>
    <row r="6" spans="1:14">
      <c r="A6" s="105" t="s">
        <v>130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21">
        <f t="shared" si="0"/>
        <v>0</v>
      </c>
    </row>
    <row r="7" spans="1:14">
      <c r="A7" s="110" t="s">
        <v>131</v>
      </c>
      <c r="B7" s="9">
        <f>1050+1200</f>
        <v>2250</v>
      </c>
      <c r="C7" s="36"/>
      <c r="D7" s="37">
        <v>1200</v>
      </c>
      <c r="E7" s="36"/>
      <c r="F7" s="36">
        <v>1200</v>
      </c>
      <c r="G7" s="36"/>
      <c r="H7" s="36">
        <v>1200</v>
      </c>
      <c r="I7" s="36"/>
      <c r="J7" s="36"/>
      <c r="K7" s="36"/>
      <c r="L7" s="36"/>
      <c r="M7" s="36"/>
      <c r="N7" s="121">
        <f t="shared" si="0"/>
        <v>5850</v>
      </c>
    </row>
    <row r="8" spans="1:14">
      <c r="A8" s="39" t="s">
        <v>132</v>
      </c>
      <c r="B8" s="9">
        <v>6727</v>
      </c>
      <c r="C8" s="9"/>
      <c r="D8" s="75"/>
      <c r="E8" s="9">
        <v>6400</v>
      </c>
      <c r="F8" s="9"/>
      <c r="G8" s="9"/>
      <c r="H8" s="9"/>
      <c r="I8" s="9"/>
      <c r="J8" s="9"/>
      <c r="K8" s="9"/>
      <c r="L8" s="9"/>
      <c r="M8" s="9"/>
      <c r="N8" s="121">
        <f t="shared" si="0"/>
        <v>13127</v>
      </c>
    </row>
    <row r="9" spans="1:14">
      <c r="A9" s="111" t="s">
        <v>133</v>
      </c>
      <c r="B9" s="9">
        <f>338+3160.7</f>
        <v>3498.7</v>
      </c>
      <c r="C9" s="36"/>
      <c r="D9" s="37"/>
      <c r="E9" s="36">
        <v>5613</v>
      </c>
      <c r="F9" s="36">
        <v>1090</v>
      </c>
      <c r="G9" s="36"/>
      <c r="H9" s="36"/>
      <c r="I9" s="36">
        <v>5500</v>
      </c>
      <c r="J9" s="36"/>
      <c r="K9" s="36"/>
      <c r="L9" s="36"/>
      <c r="M9" s="36"/>
      <c r="N9" s="121">
        <f t="shared" si="0"/>
        <v>15701.7</v>
      </c>
    </row>
    <row r="10" spans="1:14">
      <c r="A10" s="39" t="s">
        <v>134</v>
      </c>
      <c r="B10" s="9">
        <f>598+2118</f>
        <v>2716</v>
      </c>
      <c r="C10" s="36"/>
      <c r="D10" s="37"/>
      <c r="E10" s="36"/>
      <c r="F10" s="36"/>
      <c r="G10" s="36"/>
      <c r="H10" s="36"/>
      <c r="I10" s="36"/>
      <c r="J10" s="36"/>
      <c r="K10" s="36"/>
      <c r="L10" s="36"/>
      <c r="M10" s="36"/>
      <c r="N10" s="121">
        <f t="shared" si="0"/>
        <v>2716</v>
      </c>
    </row>
    <row r="11" spans="1:14">
      <c r="A11" s="39" t="s">
        <v>135</v>
      </c>
      <c r="B11" s="9">
        <v>5500</v>
      </c>
      <c r="C11" s="36"/>
      <c r="D11" s="37"/>
      <c r="E11" s="36"/>
      <c r="F11" s="36"/>
      <c r="G11" s="36"/>
      <c r="H11" s="36"/>
      <c r="I11" s="36"/>
      <c r="J11" s="36"/>
      <c r="K11" s="36"/>
      <c r="L11" s="36"/>
      <c r="M11" s="36"/>
      <c r="N11" s="121">
        <f t="shared" si="0"/>
        <v>5500</v>
      </c>
    </row>
    <row r="12" spans="1:14">
      <c r="A12" s="112" t="s">
        <v>136</v>
      </c>
      <c r="B12" s="9">
        <v>1800</v>
      </c>
      <c r="C12" s="36"/>
      <c r="D12" s="37"/>
      <c r="E12" s="36">
        <v>3400</v>
      </c>
      <c r="F12" s="36">
        <v>12900</v>
      </c>
      <c r="G12" s="36"/>
      <c r="H12" s="36"/>
      <c r="I12" s="36"/>
      <c r="J12" s="36"/>
      <c r="K12" s="36"/>
      <c r="L12" s="36"/>
      <c r="M12" s="36"/>
      <c r="N12" s="121">
        <f t="shared" si="0"/>
        <v>18100</v>
      </c>
    </row>
    <row r="13" spans="1:14">
      <c r="A13" s="113" t="s">
        <v>137</v>
      </c>
      <c r="B13" s="9">
        <f>349+174.5+79+99+69</f>
        <v>770.5</v>
      </c>
      <c r="C13" s="36">
        <f>199.99</f>
        <v>199.99</v>
      </c>
      <c r="D13" s="37">
        <v>278</v>
      </c>
      <c r="E13" s="36"/>
      <c r="F13" s="36"/>
      <c r="G13" s="36">
        <v>4892</v>
      </c>
      <c r="H13" s="36">
        <v>753</v>
      </c>
      <c r="I13" s="36">
        <v>3092</v>
      </c>
      <c r="J13" s="36"/>
      <c r="K13" s="36"/>
      <c r="L13" s="36"/>
      <c r="M13" s="36"/>
      <c r="N13" s="121">
        <f t="shared" si="0"/>
        <v>9985.49</v>
      </c>
    </row>
    <row r="14" spans="1:14">
      <c r="A14" s="112" t="s">
        <v>138</v>
      </c>
      <c r="B14" s="9">
        <v>268</v>
      </c>
      <c r="C14" s="36"/>
      <c r="D14" s="37"/>
      <c r="E14" s="36"/>
      <c r="F14" s="36"/>
      <c r="G14" s="36"/>
      <c r="H14" s="36"/>
      <c r="I14" s="36"/>
      <c r="J14" s="36"/>
      <c r="K14" s="36"/>
      <c r="L14" s="36"/>
      <c r="M14" s="36"/>
      <c r="N14" s="121">
        <f t="shared" si="0"/>
        <v>268</v>
      </c>
    </row>
    <row r="15" spans="1:14">
      <c r="A15" s="114" t="s">
        <v>139</v>
      </c>
      <c r="B15" s="9">
        <f>31+455.01</f>
        <v>486.01</v>
      </c>
      <c r="C15" s="36">
        <f>432.04+60+31</f>
        <v>523.04</v>
      </c>
      <c r="D15" s="37">
        <f>62+450.07</f>
        <v>512.07000000000005</v>
      </c>
      <c r="E15" s="36"/>
      <c r="F15" s="36"/>
      <c r="G15" s="36">
        <v>40</v>
      </c>
      <c r="H15" s="36">
        <v>571</v>
      </c>
      <c r="I15" s="36">
        <v>133</v>
      </c>
      <c r="J15" s="36"/>
      <c r="K15" s="36"/>
      <c r="L15" s="36"/>
      <c r="M15" s="36"/>
      <c r="N15" s="121">
        <f t="shared" si="0"/>
        <v>2265.12</v>
      </c>
    </row>
    <row r="16" spans="1:14">
      <c r="A16" s="112" t="s">
        <v>140</v>
      </c>
      <c r="B16" s="9">
        <f>1904+1035</f>
        <v>2939</v>
      </c>
      <c r="C16" s="36"/>
      <c r="D16" s="37"/>
      <c r="E16" s="36"/>
      <c r="F16" s="36"/>
      <c r="G16" s="36"/>
      <c r="H16" s="36"/>
      <c r="I16" s="36"/>
      <c r="J16" s="36"/>
      <c r="K16" s="36"/>
      <c r="L16" s="36"/>
      <c r="M16" s="36"/>
      <c r="N16" s="121">
        <f t="shared" si="0"/>
        <v>2939</v>
      </c>
    </row>
    <row r="17" spans="1:14">
      <c r="A17" s="112" t="s">
        <v>141</v>
      </c>
      <c r="B17" s="9">
        <f>750+1400</f>
        <v>2150</v>
      </c>
      <c r="C17" s="36"/>
      <c r="D17" s="37"/>
      <c r="E17" s="36"/>
      <c r="F17" s="36"/>
      <c r="G17" s="36"/>
      <c r="H17" s="36"/>
      <c r="I17" s="36"/>
      <c r="J17" s="36"/>
      <c r="K17" s="36"/>
      <c r="L17" s="36"/>
      <c r="M17" s="36"/>
      <c r="N17" s="121">
        <f t="shared" si="0"/>
        <v>2150</v>
      </c>
    </row>
    <row r="18" spans="1:14">
      <c r="A18" s="112" t="s">
        <v>142</v>
      </c>
      <c r="B18" s="9">
        <v>6380</v>
      </c>
      <c r="C18" s="36"/>
      <c r="D18" s="37"/>
      <c r="E18" s="36"/>
      <c r="F18" s="36"/>
      <c r="G18" s="36"/>
      <c r="H18" s="36"/>
      <c r="I18" s="36"/>
      <c r="J18" s="36"/>
      <c r="K18" s="36"/>
      <c r="L18" s="36"/>
      <c r="M18" s="36"/>
      <c r="N18" s="121">
        <f t="shared" si="0"/>
        <v>6380</v>
      </c>
    </row>
    <row r="19" spans="1:14">
      <c r="A19" s="112" t="s">
        <v>143</v>
      </c>
      <c r="B19" s="9">
        <v>15545</v>
      </c>
      <c r="C19" s="36"/>
      <c r="D19" s="37"/>
      <c r="E19" s="36"/>
      <c r="F19" s="36"/>
      <c r="G19" s="36"/>
      <c r="H19" s="36"/>
      <c r="I19" s="36"/>
      <c r="J19" s="36"/>
      <c r="K19" s="36"/>
      <c r="L19" s="36"/>
      <c r="M19" s="36"/>
      <c r="N19" s="121">
        <f t="shared" ref="N19:N39" si="1">SUM(B19:M19)</f>
        <v>15545</v>
      </c>
    </row>
    <row r="20" spans="1:14">
      <c r="A20" s="115" t="s">
        <v>144</v>
      </c>
      <c r="B20" s="9">
        <f>800+360+600+200</f>
        <v>1960</v>
      </c>
      <c r="C20" s="36"/>
      <c r="D20" s="37"/>
      <c r="E20" s="36"/>
      <c r="F20" s="36">
        <v>1080</v>
      </c>
      <c r="G20" s="36"/>
      <c r="H20" s="36">
        <v>600</v>
      </c>
      <c r="I20" s="36"/>
      <c r="J20" s="36"/>
      <c r="K20" s="36"/>
      <c r="L20" s="36"/>
      <c r="M20" s="36"/>
      <c r="N20" s="121">
        <f t="shared" si="1"/>
        <v>3640</v>
      </c>
    </row>
    <row r="21" spans="1:14">
      <c r="A21" s="112" t="s">
        <v>145</v>
      </c>
      <c r="B21" s="9">
        <f>1330+1040+820</f>
        <v>3190</v>
      </c>
      <c r="C21" s="36"/>
      <c r="D21" s="37"/>
      <c r="E21" s="36"/>
      <c r="F21" s="36"/>
      <c r="G21" s="36"/>
      <c r="H21" s="36">
        <v>376</v>
      </c>
      <c r="I21" s="36"/>
      <c r="J21" s="36"/>
      <c r="K21" s="36"/>
      <c r="L21" s="36"/>
      <c r="M21" s="36"/>
      <c r="N21" s="121">
        <f t="shared" si="1"/>
        <v>3566</v>
      </c>
    </row>
    <row r="22" spans="1:14">
      <c r="A22" s="112" t="s">
        <v>146</v>
      </c>
      <c r="B22" s="9">
        <v>520</v>
      </c>
      <c r="C22" s="36"/>
      <c r="D22" s="37"/>
      <c r="E22" s="36"/>
      <c r="F22" s="36"/>
      <c r="G22" s="36"/>
      <c r="H22" s="36"/>
      <c r="I22" s="36"/>
      <c r="J22" s="36"/>
      <c r="K22" s="36"/>
      <c r="L22" s="36"/>
      <c r="M22" s="36"/>
      <c r="N22" s="121">
        <f t="shared" si="1"/>
        <v>520</v>
      </c>
    </row>
    <row r="23" spans="1:14">
      <c r="A23" s="112" t="s">
        <v>147</v>
      </c>
      <c r="B23" s="9">
        <v>1040</v>
      </c>
      <c r="C23" s="36"/>
      <c r="D23" s="37"/>
      <c r="E23" s="36"/>
      <c r="F23" s="36"/>
      <c r="G23" s="36"/>
      <c r="H23" s="36"/>
      <c r="I23" s="36"/>
      <c r="J23" s="36"/>
      <c r="K23" s="36"/>
      <c r="L23" s="36"/>
      <c r="M23" s="36"/>
      <c r="N23" s="121">
        <f t="shared" si="1"/>
        <v>1040</v>
      </c>
    </row>
    <row r="24" spans="1:14">
      <c r="A24" s="112" t="s">
        <v>148</v>
      </c>
      <c r="B24" s="9"/>
      <c r="C24" s="36">
        <v>6727</v>
      </c>
      <c r="D24" s="37"/>
      <c r="E24" s="36"/>
      <c r="F24" s="36"/>
      <c r="G24" s="36"/>
      <c r="H24" s="36"/>
      <c r="I24" s="36"/>
      <c r="J24" s="36"/>
      <c r="K24" s="36"/>
      <c r="L24" s="36"/>
      <c r="M24" s="36"/>
      <c r="N24" s="121">
        <f t="shared" si="1"/>
        <v>6727</v>
      </c>
    </row>
    <row r="25" spans="1:14">
      <c r="A25" s="111" t="s">
        <v>149</v>
      </c>
      <c r="B25" s="9"/>
      <c r="C25" s="36">
        <v>1500</v>
      </c>
      <c r="D25" s="37"/>
      <c r="E25" s="36">
        <v>6000</v>
      </c>
      <c r="F25" s="36"/>
      <c r="G25" s="36">
        <v>6000</v>
      </c>
      <c r="H25" s="36"/>
      <c r="I25" s="36"/>
      <c r="J25" s="36"/>
      <c r="K25" s="36"/>
      <c r="L25" s="36"/>
      <c r="M25" s="36"/>
      <c r="N25" s="121">
        <f t="shared" si="1"/>
        <v>13500</v>
      </c>
    </row>
    <row r="26" spans="1:14">
      <c r="A26" s="112" t="s">
        <v>150</v>
      </c>
      <c r="B26" s="9"/>
      <c r="C26" s="36">
        <f>1400+904+973</f>
        <v>3277</v>
      </c>
      <c r="D26" s="37">
        <v>1358</v>
      </c>
      <c r="E26" s="36"/>
      <c r="F26" s="36">
        <v>1358</v>
      </c>
      <c r="G26" s="36">
        <v>6762</v>
      </c>
      <c r="H26" s="36"/>
      <c r="I26" s="36"/>
      <c r="J26" s="36"/>
      <c r="K26" s="36"/>
      <c r="L26" s="36"/>
      <c r="M26" s="36"/>
      <c r="N26" s="121">
        <f t="shared" si="1"/>
        <v>12755</v>
      </c>
    </row>
    <row r="27" spans="1:14">
      <c r="A27" s="112" t="s">
        <v>151</v>
      </c>
      <c r="B27" s="9"/>
      <c r="C27" s="36">
        <v>1570</v>
      </c>
      <c r="D27" s="37"/>
      <c r="E27" s="36"/>
      <c r="F27" s="36"/>
      <c r="G27" s="36"/>
      <c r="H27" s="36"/>
      <c r="I27" s="36"/>
      <c r="J27" s="36"/>
      <c r="K27" s="36"/>
      <c r="L27" s="36"/>
      <c r="M27" s="36"/>
      <c r="N27" s="121">
        <f t="shared" si="1"/>
        <v>1570</v>
      </c>
    </row>
    <row r="28" spans="1:14">
      <c r="A28" s="112" t="s">
        <v>152</v>
      </c>
      <c r="B28" s="9"/>
      <c r="C28" s="36">
        <v>616</v>
      </c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121">
        <f t="shared" si="1"/>
        <v>616</v>
      </c>
    </row>
    <row r="29" spans="1:14">
      <c r="A29" s="112" t="s">
        <v>153</v>
      </c>
      <c r="B29" s="9"/>
      <c r="C29" s="36">
        <v>1980</v>
      </c>
      <c r="D29" s="37"/>
      <c r="E29" s="36"/>
      <c r="F29" s="36"/>
      <c r="G29" s="36"/>
      <c r="H29" s="36"/>
      <c r="I29" s="36"/>
      <c r="J29" s="36"/>
      <c r="K29" s="36"/>
      <c r="L29" s="36"/>
      <c r="M29" s="36"/>
      <c r="N29" s="121">
        <f t="shared" si="1"/>
        <v>1980</v>
      </c>
    </row>
    <row r="30" spans="1:14">
      <c r="A30" s="112" t="s">
        <v>154</v>
      </c>
      <c r="B30" s="9"/>
      <c r="C30" s="36">
        <v>680</v>
      </c>
      <c r="D30" s="37"/>
      <c r="E30" s="36"/>
      <c r="F30" s="36"/>
      <c r="G30" s="36"/>
      <c r="H30" s="36"/>
      <c r="I30" s="36"/>
      <c r="J30" s="36"/>
      <c r="K30" s="36"/>
      <c r="L30" s="36"/>
      <c r="M30" s="36"/>
      <c r="N30" s="121">
        <f t="shared" si="1"/>
        <v>680</v>
      </c>
    </row>
    <row r="31" spans="1:14">
      <c r="A31" s="112" t="s">
        <v>155</v>
      </c>
      <c r="B31" s="9"/>
      <c r="C31" s="36">
        <v>1600</v>
      </c>
      <c r="D31" s="37"/>
      <c r="E31" s="36"/>
      <c r="F31" s="36"/>
      <c r="G31" s="36"/>
      <c r="H31" s="36"/>
      <c r="I31" s="36"/>
      <c r="J31" s="36"/>
      <c r="K31" s="36"/>
      <c r="L31" s="36"/>
      <c r="M31" s="36"/>
      <c r="N31" s="121">
        <f t="shared" si="1"/>
        <v>1600</v>
      </c>
    </row>
    <row r="32" spans="1:14">
      <c r="A32" s="112" t="s">
        <v>156</v>
      </c>
      <c r="B32" s="9"/>
      <c r="C32" s="36">
        <v>120</v>
      </c>
      <c r="D32" s="37"/>
      <c r="E32" s="36"/>
      <c r="F32" s="36"/>
      <c r="G32" s="36"/>
      <c r="H32" s="36"/>
      <c r="I32" s="36"/>
      <c r="J32" s="36"/>
      <c r="K32" s="36"/>
      <c r="L32" s="36"/>
      <c r="M32" s="36"/>
      <c r="N32" s="121">
        <f t="shared" si="1"/>
        <v>120</v>
      </c>
    </row>
    <row r="33" spans="1:14">
      <c r="A33" s="112" t="s">
        <v>157</v>
      </c>
      <c r="B33" s="9"/>
      <c r="C33" s="36">
        <v>1504</v>
      </c>
      <c r="D33" s="37">
        <v>759</v>
      </c>
      <c r="E33" s="36"/>
      <c r="F33" s="36"/>
      <c r="G33" s="36">
        <v>2028</v>
      </c>
      <c r="H33" s="36">
        <v>1755</v>
      </c>
      <c r="I33" s="36"/>
      <c r="J33" s="36"/>
      <c r="K33" s="36"/>
      <c r="L33" s="36"/>
      <c r="M33" s="36"/>
      <c r="N33" s="121">
        <f t="shared" si="1"/>
        <v>6046</v>
      </c>
    </row>
    <row r="34" spans="1:14">
      <c r="A34" s="112" t="s">
        <v>158</v>
      </c>
      <c r="B34" s="9"/>
      <c r="C34" s="36">
        <v>153</v>
      </c>
      <c r="D34" s="37"/>
      <c r="E34" s="36"/>
      <c r="F34" s="36"/>
      <c r="G34" s="36"/>
      <c r="H34" s="36"/>
      <c r="I34" s="36"/>
      <c r="J34" s="36"/>
      <c r="K34" s="36"/>
      <c r="L34" s="36"/>
      <c r="M34" s="36"/>
      <c r="N34" s="121">
        <f t="shared" si="1"/>
        <v>153</v>
      </c>
    </row>
    <row r="35" spans="1:14">
      <c r="A35" s="112" t="s">
        <v>159</v>
      </c>
      <c r="B35" s="9"/>
      <c r="C35" s="36">
        <v>5750</v>
      </c>
      <c r="D35" s="37"/>
      <c r="E35" s="36"/>
      <c r="F35" s="36"/>
      <c r="G35" s="36"/>
      <c r="H35" s="36"/>
      <c r="I35" s="36"/>
      <c r="J35" s="36"/>
      <c r="K35" s="36"/>
      <c r="L35" s="36"/>
      <c r="M35" s="36"/>
      <c r="N35" s="121">
        <f t="shared" si="1"/>
        <v>5750</v>
      </c>
    </row>
    <row r="36" spans="1:14">
      <c r="A36" s="116" t="s">
        <v>160</v>
      </c>
      <c r="B36" s="20"/>
      <c r="C36" s="20">
        <v>403.5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1">
        <f t="shared" si="1"/>
        <v>403.5</v>
      </c>
    </row>
    <row r="37" spans="1:14">
      <c r="A37" s="116" t="s">
        <v>161</v>
      </c>
      <c r="B37" s="20"/>
      <c r="C37" s="20"/>
      <c r="D37" s="20">
        <v>2240</v>
      </c>
      <c r="E37" s="20"/>
      <c r="F37" s="20"/>
      <c r="G37" s="20"/>
      <c r="H37" s="20"/>
      <c r="I37" s="20"/>
      <c r="J37" s="20"/>
      <c r="K37" s="20"/>
      <c r="L37" s="20"/>
      <c r="M37" s="20"/>
      <c r="N37" s="121">
        <f t="shared" si="1"/>
        <v>2240</v>
      </c>
    </row>
    <row r="38" spans="1:14">
      <c r="A38" s="116" t="s">
        <v>162</v>
      </c>
      <c r="B38" s="20"/>
      <c r="C38" s="20"/>
      <c r="D38" s="20"/>
      <c r="E38" s="20"/>
      <c r="F38" s="20"/>
      <c r="G38" s="20">
        <v>278</v>
      </c>
      <c r="H38" s="20"/>
      <c r="I38" s="20"/>
      <c r="J38" s="20"/>
      <c r="K38" s="20"/>
      <c r="L38" s="20"/>
      <c r="M38" s="20"/>
      <c r="N38" s="121">
        <f t="shared" si="1"/>
        <v>278</v>
      </c>
    </row>
    <row r="39" spans="1:14">
      <c r="A39" s="116" t="s">
        <v>163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21">
        <f t="shared" si="1"/>
        <v>0</v>
      </c>
    </row>
    <row r="40" spans="1:14">
      <c r="A40" s="117" t="s">
        <v>164</v>
      </c>
      <c r="B40" s="9"/>
      <c r="C40" s="9"/>
      <c r="D40" s="9"/>
      <c r="E40" s="9">
        <v>3150</v>
      </c>
      <c r="F40" s="9"/>
      <c r="G40" s="9"/>
      <c r="H40" s="9"/>
      <c r="I40" s="9"/>
      <c r="J40" s="9"/>
      <c r="K40" s="9"/>
      <c r="L40" s="9"/>
      <c r="M40" s="9"/>
      <c r="N40" s="121">
        <f t="shared" ref="N40:N58" si="2">SUM(B40:M40)</f>
        <v>3150</v>
      </c>
    </row>
    <row r="41" spans="1:14">
      <c r="A41" s="117" t="s">
        <v>165</v>
      </c>
      <c r="B41" s="9"/>
      <c r="C41" s="9"/>
      <c r="D41" s="9"/>
      <c r="E41" s="9">
        <v>750</v>
      </c>
      <c r="F41" s="9"/>
      <c r="G41" s="9">
        <v>750</v>
      </c>
      <c r="H41" s="9"/>
      <c r="I41" s="9"/>
      <c r="J41" s="9"/>
      <c r="K41" s="9"/>
      <c r="L41" s="9"/>
      <c r="M41" s="9"/>
      <c r="N41" s="121">
        <f t="shared" si="2"/>
        <v>1500</v>
      </c>
    </row>
    <row r="42" spans="1:14">
      <c r="A42" s="117" t="s">
        <v>166</v>
      </c>
      <c r="B42" s="9"/>
      <c r="C42" s="9"/>
      <c r="D42" s="9"/>
      <c r="E42" s="9">
        <v>960</v>
      </c>
      <c r="F42" s="9"/>
      <c r="G42" s="9"/>
      <c r="H42" s="9"/>
      <c r="I42" s="9"/>
      <c r="J42" s="9"/>
      <c r="K42" s="9"/>
      <c r="L42" s="9"/>
      <c r="M42" s="9"/>
      <c r="N42" s="121">
        <f t="shared" si="2"/>
        <v>960</v>
      </c>
    </row>
    <row r="43" spans="1:14">
      <c r="A43" s="117" t="s">
        <v>167</v>
      </c>
      <c r="B43" s="9"/>
      <c r="C43" s="9"/>
      <c r="D43" s="9"/>
      <c r="E43" s="9">
        <v>5327</v>
      </c>
      <c r="F43" s="9"/>
      <c r="G43" s="9"/>
      <c r="H43" s="9"/>
      <c r="I43" s="9"/>
      <c r="J43" s="9"/>
      <c r="K43" s="9"/>
      <c r="L43" s="9"/>
      <c r="M43" s="9"/>
      <c r="N43" s="121">
        <f t="shared" si="2"/>
        <v>5327</v>
      </c>
    </row>
    <row r="44" spans="1:14">
      <c r="A44" s="117" t="s">
        <v>168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21">
        <f t="shared" si="2"/>
        <v>0</v>
      </c>
    </row>
    <row r="45" spans="1:14">
      <c r="A45" s="117" t="s">
        <v>169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21">
        <f t="shared" si="2"/>
        <v>0</v>
      </c>
    </row>
    <row r="46" spans="1:14">
      <c r="A46" s="117" t="s">
        <v>170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21">
        <f t="shared" si="2"/>
        <v>0</v>
      </c>
    </row>
    <row r="47" spans="1:14">
      <c r="A47" s="117" t="s">
        <v>171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21">
        <f t="shared" si="2"/>
        <v>0</v>
      </c>
    </row>
    <row r="48" spans="1:14">
      <c r="A48" s="117" t="s">
        <v>172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21">
        <f t="shared" si="2"/>
        <v>0</v>
      </c>
    </row>
    <row r="49" spans="1:14">
      <c r="A49" s="117" t="s">
        <v>173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21">
        <f t="shared" si="2"/>
        <v>0</v>
      </c>
    </row>
    <row r="50" spans="1:14">
      <c r="A50" s="117" t="s">
        <v>174</v>
      </c>
      <c r="B50" s="9"/>
      <c r="C50" s="9"/>
      <c r="D50" s="9"/>
      <c r="E50" s="9">
        <v>3170</v>
      </c>
      <c r="F50" s="9"/>
      <c r="G50" s="9"/>
      <c r="H50" s="9"/>
      <c r="I50" s="9">
        <v>2100</v>
      </c>
      <c r="J50" s="9"/>
      <c r="K50" s="9"/>
      <c r="L50" s="9"/>
      <c r="M50" s="9"/>
      <c r="N50" s="121">
        <f t="shared" si="2"/>
        <v>5270</v>
      </c>
    </row>
    <row r="51" spans="1:14">
      <c r="A51" s="117" t="s">
        <v>175</v>
      </c>
      <c r="B51" s="9"/>
      <c r="C51" s="9"/>
      <c r="D51" s="9"/>
      <c r="E51" s="9">
        <v>22000</v>
      </c>
      <c r="F51" s="9">
        <v>11000</v>
      </c>
      <c r="G51" s="9">
        <v>11000</v>
      </c>
      <c r="H51" s="9">
        <v>11000</v>
      </c>
      <c r="I51" s="9">
        <v>11000</v>
      </c>
      <c r="J51" s="9"/>
      <c r="K51" s="9"/>
      <c r="L51" s="9"/>
      <c r="M51" s="9"/>
      <c r="N51" s="121">
        <f t="shared" si="2"/>
        <v>66000</v>
      </c>
    </row>
    <row r="52" spans="1:14">
      <c r="A52" s="117" t="s">
        <v>176</v>
      </c>
      <c r="B52" s="9"/>
      <c r="C52" s="9"/>
      <c r="D52" s="9"/>
      <c r="E52" s="9"/>
      <c r="F52" s="9">
        <v>0</v>
      </c>
      <c r="G52" s="9"/>
      <c r="H52" s="9"/>
      <c r="I52" s="9"/>
      <c r="J52" s="9"/>
      <c r="K52" s="9"/>
      <c r="L52" s="9"/>
      <c r="M52" s="9"/>
      <c r="N52" s="121"/>
    </row>
    <row r="53" spans="1:14">
      <c r="A53" s="117" t="s">
        <v>177</v>
      </c>
      <c r="B53" s="9"/>
      <c r="C53" s="9"/>
      <c r="D53" s="9"/>
      <c r="E53" s="9"/>
      <c r="F53" s="9">
        <v>1200</v>
      </c>
      <c r="G53" s="9"/>
      <c r="H53" s="9"/>
      <c r="I53" s="9"/>
      <c r="J53" s="9"/>
      <c r="K53" s="9"/>
      <c r="L53" s="9"/>
      <c r="M53" s="9"/>
      <c r="N53" s="121">
        <f t="shared" si="2"/>
        <v>1200</v>
      </c>
    </row>
    <row r="54" spans="1:14">
      <c r="A54" s="117" t="s">
        <v>178</v>
      </c>
      <c r="B54" s="9"/>
      <c r="C54" s="9"/>
      <c r="D54" s="9"/>
      <c r="E54" s="9"/>
      <c r="F54" s="9">
        <v>10737</v>
      </c>
      <c r="G54" s="9"/>
      <c r="H54" s="9"/>
      <c r="I54" s="9"/>
      <c r="J54" s="9"/>
      <c r="K54" s="9"/>
      <c r="L54" s="9"/>
      <c r="M54" s="9"/>
      <c r="N54" s="121">
        <f t="shared" si="2"/>
        <v>10737</v>
      </c>
    </row>
    <row r="55" spans="1:14" ht="30">
      <c r="A55" s="116" t="s">
        <v>179</v>
      </c>
      <c r="B55" s="20"/>
      <c r="C55" s="20"/>
      <c r="D55" s="20"/>
      <c r="E55" s="20"/>
      <c r="F55" s="20">
        <v>15885</v>
      </c>
      <c r="G55" s="20"/>
      <c r="H55" s="20"/>
      <c r="I55" s="20"/>
      <c r="J55" s="20"/>
      <c r="K55" s="20"/>
      <c r="L55" s="20"/>
      <c r="M55" s="20"/>
      <c r="N55" s="121">
        <f t="shared" si="2"/>
        <v>15885</v>
      </c>
    </row>
    <row r="56" spans="1:14" ht="26.25">
      <c r="A56" s="117" t="s">
        <v>180</v>
      </c>
      <c r="B56" s="9"/>
      <c r="C56" s="9"/>
      <c r="D56" s="9"/>
      <c r="E56" s="9"/>
      <c r="F56" s="9">
        <v>9074</v>
      </c>
      <c r="G56" s="9"/>
      <c r="H56" s="9"/>
      <c r="I56" s="9"/>
      <c r="J56" s="9"/>
      <c r="K56" s="9"/>
      <c r="L56" s="9"/>
      <c r="M56" s="9"/>
      <c r="N56" s="121">
        <f t="shared" si="2"/>
        <v>9074</v>
      </c>
    </row>
    <row r="57" spans="1:14">
      <c r="A57" s="117" t="s">
        <v>181</v>
      </c>
      <c r="B57" s="9"/>
      <c r="C57" s="9"/>
      <c r="D57" s="9"/>
      <c r="E57" s="9"/>
      <c r="F57" s="9">
        <v>3885</v>
      </c>
      <c r="G57" s="9"/>
      <c r="H57" s="9"/>
      <c r="I57" s="9"/>
      <c r="J57" s="9"/>
      <c r="K57" s="9"/>
      <c r="L57" s="9"/>
      <c r="M57" s="9"/>
      <c r="N57" s="121">
        <f t="shared" si="2"/>
        <v>3885</v>
      </c>
    </row>
    <row r="58" spans="1:14">
      <c r="A58" s="117" t="s">
        <v>182</v>
      </c>
      <c r="B58" s="9"/>
      <c r="C58" s="9"/>
      <c r="D58" s="9"/>
      <c r="E58" s="9"/>
      <c r="F58" s="9">
        <v>125</v>
      </c>
      <c r="G58" s="9"/>
      <c r="H58" s="9">
        <v>346</v>
      </c>
      <c r="I58" s="9"/>
      <c r="J58" s="9"/>
      <c r="K58" s="9"/>
      <c r="L58" s="9"/>
      <c r="M58" s="9"/>
      <c r="N58" s="121">
        <f t="shared" si="2"/>
        <v>471</v>
      </c>
    </row>
    <row r="59" spans="1:14">
      <c r="A59" s="117" t="s">
        <v>183</v>
      </c>
      <c r="B59" s="9"/>
      <c r="C59" s="9"/>
      <c r="D59" s="9"/>
      <c r="E59" s="9"/>
      <c r="F59" s="9">
        <v>2540</v>
      </c>
      <c r="G59" s="9"/>
      <c r="H59" s="9"/>
      <c r="I59" s="9"/>
      <c r="J59" s="9"/>
      <c r="K59" s="9"/>
      <c r="L59" s="9"/>
      <c r="M59" s="9"/>
      <c r="N59" s="36">
        <f t="shared" ref="N59:N108" si="3">SUM(B59:M59)</f>
        <v>2540</v>
      </c>
    </row>
    <row r="60" spans="1:14">
      <c r="A60" s="117" t="s">
        <v>184</v>
      </c>
      <c r="B60" s="9"/>
      <c r="C60" s="9"/>
      <c r="D60" s="9"/>
      <c r="E60" s="9">
        <v>1450</v>
      </c>
      <c r="F60" s="9"/>
      <c r="G60" s="9"/>
      <c r="H60" s="9"/>
      <c r="I60" s="9"/>
      <c r="J60" s="9"/>
      <c r="K60" s="9"/>
      <c r="L60" s="9"/>
      <c r="M60" s="9"/>
      <c r="N60" s="36">
        <f t="shared" si="3"/>
        <v>1450</v>
      </c>
    </row>
    <row r="61" spans="1:14">
      <c r="A61" s="118" t="s">
        <v>185</v>
      </c>
      <c r="B61" s="9"/>
      <c r="C61" s="20"/>
      <c r="D61" s="20"/>
      <c r="E61" s="20">
        <v>100</v>
      </c>
      <c r="F61" s="20"/>
      <c r="G61" s="20"/>
      <c r="H61" s="20"/>
      <c r="I61" s="20"/>
      <c r="J61" s="20"/>
      <c r="K61" s="20"/>
      <c r="L61" s="20"/>
      <c r="M61" s="20"/>
      <c r="N61" s="36">
        <f t="shared" si="3"/>
        <v>100</v>
      </c>
    </row>
    <row r="62" spans="1:14">
      <c r="A62" s="117" t="s">
        <v>186</v>
      </c>
      <c r="B62" s="9"/>
      <c r="C62" s="20"/>
      <c r="D62" s="20"/>
      <c r="E62" s="20">
        <v>90</v>
      </c>
      <c r="F62" s="20"/>
      <c r="G62" s="20"/>
      <c r="H62" s="20"/>
      <c r="I62" s="20"/>
      <c r="J62" s="20"/>
      <c r="K62" s="20"/>
      <c r="L62" s="20"/>
      <c r="M62" s="20"/>
      <c r="N62" s="36">
        <f t="shared" si="3"/>
        <v>90</v>
      </c>
    </row>
    <row r="63" spans="1:14">
      <c r="A63" s="118" t="s">
        <v>187</v>
      </c>
      <c r="B63" s="9"/>
      <c r="C63" s="36"/>
      <c r="D63" s="36"/>
      <c r="E63" s="36">
        <v>400</v>
      </c>
      <c r="F63" s="36"/>
      <c r="G63" s="36"/>
      <c r="H63" s="36"/>
      <c r="I63" s="36"/>
      <c r="J63" s="36"/>
      <c r="K63" s="36"/>
      <c r="L63" s="36"/>
      <c r="M63" s="36"/>
      <c r="N63" s="36">
        <f t="shared" si="3"/>
        <v>400</v>
      </c>
    </row>
    <row r="64" spans="1:14">
      <c r="A64" s="117" t="s">
        <v>144</v>
      </c>
      <c r="B64" s="9"/>
      <c r="C64" s="9"/>
      <c r="D64" s="40"/>
      <c r="E64" s="9">
        <v>840</v>
      </c>
      <c r="F64" s="9"/>
      <c r="G64" s="9">
        <v>2750</v>
      </c>
      <c r="H64" s="9"/>
      <c r="I64" s="9">
        <v>900</v>
      </c>
      <c r="J64" s="9"/>
      <c r="K64" s="9"/>
      <c r="L64" s="9"/>
      <c r="M64" s="9"/>
      <c r="N64" s="36">
        <f t="shared" si="3"/>
        <v>4490</v>
      </c>
    </row>
    <row r="65" spans="1:14">
      <c r="A65" s="118" t="s">
        <v>188</v>
      </c>
      <c r="B65" s="9"/>
      <c r="C65" s="9"/>
      <c r="D65" s="9"/>
      <c r="E65" s="9">
        <v>370</v>
      </c>
      <c r="F65" s="9"/>
      <c r="G65" s="9"/>
      <c r="H65" s="9"/>
      <c r="I65" s="9"/>
      <c r="J65" s="9"/>
      <c r="K65" s="9"/>
      <c r="L65" s="9"/>
      <c r="M65" s="9"/>
      <c r="N65" s="36">
        <f t="shared" si="3"/>
        <v>370</v>
      </c>
    </row>
    <row r="66" spans="1:14">
      <c r="A66" s="117" t="s">
        <v>189</v>
      </c>
      <c r="B66" s="9"/>
      <c r="C66" s="9"/>
      <c r="D66" s="9"/>
      <c r="E66" s="9">
        <v>2760</v>
      </c>
      <c r="F66" s="9"/>
      <c r="G66" s="9"/>
      <c r="H66" s="9"/>
      <c r="I66" s="9"/>
      <c r="J66" s="9"/>
      <c r="K66" s="9"/>
      <c r="L66" s="9"/>
      <c r="M66" s="9"/>
      <c r="N66" s="36">
        <f t="shared" si="3"/>
        <v>2760</v>
      </c>
    </row>
    <row r="67" spans="1:14">
      <c r="A67" s="116" t="s">
        <v>190</v>
      </c>
      <c r="B67" s="9"/>
      <c r="C67" s="9"/>
      <c r="D67" s="9"/>
      <c r="E67" s="9">
        <v>16104</v>
      </c>
      <c r="F67" s="9"/>
      <c r="G67" s="9"/>
      <c r="H67" s="9"/>
      <c r="I67" s="9"/>
      <c r="J67" s="9"/>
      <c r="K67" s="9"/>
      <c r="L67" s="9"/>
      <c r="M67" s="9"/>
      <c r="N67" s="36">
        <f t="shared" si="3"/>
        <v>16104</v>
      </c>
    </row>
    <row r="68" spans="1:14">
      <c r="A68" s="117" t="s">
        <v>191</v>
      </c>
      <c r="B68" s="9"/>
      <c r="C68" s="9"/>
      <c r="D68" s="9"/>
      <c r="E68" s="9">
        <v>359</v>
      </c>
      <c r="F68" s="9"/>
      <c r="G68" s="9"/>
      <c r="H68" s="9"/>
      <c r="I68" s="9"/>
      <c r="J68" s="9"/>
      <c r="K68" s="9"/>
      <c r="L68" s="9"/>
      <c r="M68" s="9"/>
      <c r="N68" s="36">
        <f t="shared" si="3"/>
        <v>359</v>
      </c>
    </row>
    <row r="69" spans="1:14">
      <c r="A69" s="116" t="s">
        <v>192</v>
      </c>
      <c r="B69" s="9"/>
      <c r="C69" s="9"/>
      <c r="D69" s="9"/>
      <c r="E69" s="9">
        <v>150</v>
      </c>
      <c r="F69" s="9"/>
      <c r="G69" s="9"/>
      <c r="H69" s="9"/>
      <c r="I69" s="9"/>
      <c r="J69" s="9"/>
      <c r="K69" s="9"/>
      <c r="L69" s="9"/>
      <c r="M69" s="9"/>
      <c r="N69" s="36">
        <f t="shared" si="3"/>
        <v>150</v>
      </c>
    </row>
    <row r="70" spans="1:14">
      <c r="A70" s="117" t="s">
        <v>193</v>
      </c>
      <c r="B70" s="9"/>
      <c r="C70" s="9"/>
      <c r="D70" s="9"/>
      <c r="E70" s="9">
        <v>1110</v>
      </c>
      <c r="F70" s="9"/>
      <c r="G70" s="9"/>
      <c r="H70" s="9"/>
      <c r="I70" s="9"/>
      <c r="J70" s="9"/>
      <c r="K70" s="9"/>
      <c r="L70" s="9"/>
      <c r="M70" s="9"/>
      <c r="N70" s="36">
        <f t="shared" si="3"/>
        <v>1110</v>
      </c>
    </row>
    <row r="71" spans="1:14">
      <c r="A71" s="116" t="s">
        <v>177</v>
      </c>
      <c r="B71" s="9"/>
      <c r="C71" s="9"/>
      <c r="D71" s="9"/>
      <c r="E71" s="9">
        <v>40000</v>
      </c>
      <c r="F71" s="9"/>
      <c r="G71" s="9"/>
      <c r="H71" s="9"/>
      <c r="I71" s="9"/>
      <c r="J71" s="9"/>
      <c r="K71" s="9"/>
      <c r="L71" s="9"/>
      <c r="M71" s="9"/>
      <c r="N71" s="36">
        <f t="shared" si="3"/>
        <v>40000</v>
      </c>
    </row>
    <row r="72" spans="1:14">
      <c r="A72" s="117" t="s">
        <v>163</v>
      </c>
      <c r="B72" s="9"/>
      <c r="C72" s="9"/>
      <c r="D72" s="9"/>
      <c r="E72" s="9">
        <v>369</v>
      </c>
      <c r="F72" s="9"/>
      <c r="G72" s="9"/>
      <c r="H72" s="9"/>
      <c r="I72" s="9"/>
      <c r="J72" s="9"/>
      <c r="K72" s="9"/>
      <c r="L72" s="9"/>
      <c r="M72" s="9"/>
      <c r="N72" s="36">
        <f t="shared" si="3"/>
        <v>369</v>
      </c>
    </row>
    <row r="73" spans="1:14">
      <c r="A73" s="118" t="s">
        <v>194</v>
      </c>
      <c r="B73" s="9"/>
      <c r="C73" s="9"/>
      <c r="D73" s="9"/>
      <c r="E73" s="9"/>
      <c r="F73" s="9"/>
      <c r="G73" s="9">
        <v>7390</v>
      </c>
      <c r="H73" s="9"/>
      <c r="I73" s="9"/>
      <c r="J73" s="9"/>
      <c r="K73" s="9"/>
      <c r="L73" s="9"/>
      <c r="M73" s="9"/>
      <c r="N73" s="36">
        <f t="shared" si="3"/>
        <v>7390</v>
      </c>
    </row>
    <row r="74" spans="1:14">
      <c r="A74" s="117" t="s">
        <v>195</v>
      </c>
      <c r="B74" s="9"/>
      <c r="C74" s="9"/>
      <c r="D74" s="9"/>
      <c r="E74" s="9"/>
      <c r="F74" s="9"/>
      <c r="G74" s="9">
        <v>15000</v>
      </c>
      <c r="H74" s="9"/>
      <c r="I74" s="9"/>
      <c r="J74" s="9"/>
      <c r="K74" s="9"/>
      <c r="L74" s="9"/>
      <c r="M74" s="9"/>
      <c r="N74" s="36">
        <f t="shared" si="3"/>
        <v>15000</v>
      </c>
    </row>
    <row r="75" spans="1:14">
      <c r="A75" s="118" t="s">
        <v>196</v>
      </c>
      <c r="B75" s="9"/>
      <c r="C75" s="9"/>
      <c r="D75" s="9"/>
      <c r="E75" s="9"/>
      <c r="F75" s="9"/>
      <c r="G75" s="9">
        <v>42264</v>
      </c>
      <c r="H75" s="9"/>
      <c r="I75" s="9"/>
      <c r="J75" s="9"/>
      <c r="K75" s="9"/>
      <c r="L75" s="9"/>
      <c r="M75" s="9"/>
      <c r="N75" s="36">
        <f t="shared" si="3"/>
        <v>42264</v>
      </c>
    </row>
    <row r="76" spans="1:14">
      <c r="A76" s="117" t="s">
        <v>197</v>
      </c>
      <c r="B76" s="9"/>
      <c r="C76" s="9"/>
      <c r="D76" s="9"/>
      <c r="E76" s="9"/>
      <c r="F76" s="9"/>
      <c r="G76" s="9">
        <v>556</v>
      </c>
      <c r="H76" s="9"/>
      <c r="I76" s="9"/>
      <c r="J76" s="9"/>
      <c r="K76" s="9"/>
      <c r="L76" s="9"/>
      <c r="M76" s="9"/>
      <c r="N76" s="36">
        <f t="shared" si="3"/>
        <v>556</v>
      </c>
    </row>
    <row r="77" spans="1:14">
      <c r="A77" s="116" t="s">
        <v>198</v>
      </c>
      <c r="B77" s="9"/>
      <c r="C77" s="9"/>
      <c r="D77" s="9"/>
      <c r="E77" s="9"/>
      <c r="F77" s="9"/>
      <c r="G77" s="9">
        <v>1900</v>
      </c>
      <c r="H77" s="9"/>
      <c r="I77" s="9"/>
      <c r="J77" s="9"/>
      <c r="K77" s="9"/>
      <c r="L77" s="9"/>
      <c r="M77" s="9"/>
      <c r="N77" s="36">
        <f t="shared" si="3"/>
        <v>1900</v>
      </c>
    </row>
    <row r="78" spans="1:14">
      <c r="A78" s="117" t="s">
        <v>199</v>
      </c>
      <c r="B78" s="9"/>
      <c r="C78" s="9"/>
      <c r="D78" s="9"/>
      <c r="E78" s="9"/>
      <c r="F78" s="9"/>
      <c r="G78" s="9">
        <v>756</v>
      </c>
      <c r="H78" s="9"/>
      <c r="I78" s="9"/>
      <c r="J78" s="9"/>
      <c r="K78" s="9"/>
      <c r="L78" s="9"/>
      <c r="M78" s="9"/>
      <c r="N78" s="36">
        <f t="shared" si="3"/>
        <v>756</v>
      </c>
    </row>
    <row r="79" spans="1:14">
      <c r="A79" s="117" t="s">
        <v>200</v>
      </c>
      <c r="B79" s="9"/>
      <c r="C79" s="9"/>
      <c r="D79" s="9"/>
      <c r="E79" s="9"/>
      <c r="F79" s="9"/>
      <c r="G79" s="9">
        <v>3928</v>
      </c>
      <c r="H79" s="9"/>
      <c r="I79" s="9"/>
      <c r="J79" s="9"/>
      <c r="K79" s="9"/>
      <c r="L79" s="9"/>
      <c r="M79" s="9"/>
      <c r="N79" s="36">
        <f t="shared" si="3"/>
        <v>3928</v>
      </c>
    </row>
    <row r="80" spans="1:14">
      <c r="A80" s="118" t="s">
        <v>201</v>
      </c>
      <c r="B80" s="9"/>
      <c r="C80" s="36"/>
      <c r="D80" s="36"/>
      <c r="E80" s="36"/>
      <c r="F80" s="36"/>
      <c r="G80" s="36">
        <v>3100</v>
      </c>
      <c r="H80" s="36"/>
      <c r="I80" s="36"/>
      <c r="J80" s="36"/>
      <c r="K80" s="36"/>
      <c r="L80" s="36"/>
      <c r="M80" s="36"/>
      <c r="N80" s="36">
        <f t="shared" si="3"/>
        <v>3100</v>
      </c>
    </row>
    <row r="81" spans="1:14">
      <c r="A81" s="117" t="s">
        <v>202</v>
      </c>
      <c r="B81" s="36"/>
      <c r="C81" s="36"/>
      <c r="D81" s="36"/>
      <c r="E81" s="36"/>
      <c r="F81" s="36"/>
      <c r="G81" s="36">
        <v>334</v>
      </c>
      <c r="H81" s="36"/>
      <c r="I81" s="36"/>
      <c r="J81" s="36"/>
      <c r="K81" s="36"/>
      <c r="L81" s="36"/>
      <c r="M81" s="36"/>
      <c r="N81" s="36">
        <f t="shared" si="3"/>
        <v>334</v>
      </c>
    </row>
    <row r="82" spans="1:14">
      <c r="A82" s="118" t="s">
        <v>203</v>
      </c>
      <c r="B82" s="36"/>
      <c r="C82" s="36"/>
      <c r="D82" s="36"/>
      <c r="E82" s="36"/>
      <c r="F82" s="36"/>
      <c r="G82" s="36"/>
      <c r="H82" s="36">
        <v>4770</v>
      </c>
      <c r="I82" s="36"/>
      <c r="J82" s="36"/>
      <c r="K82" s="36"/>
      <c r="L82" s="36"/>
      <c r="M82" s="36"/>
      <c r="N82" s="36">
        <f t="shared" si="3"/>
        <v>4770</v>
      </c>
    </row>
    <row r="83" spans="1:14">
      <c r="A83" s="117" t="s">
        <v>204</v>
      </c>
      <c r="B83" s="36"/>
      <c r="C83" s="36"/>
      <c r="D83" s="36"/>
      <c r="E83" s="36"/>
      <c r="F83" s="36"/>
      <c r="G83" s="36"/>
      <c r="H83" s="36">
        <v>120</v>
      </c>
      <c r="I83" s="36"/>
      <c r="J83" s="36"/>
      <c r="K83" s="36"/>
      <c r="L83" s="36"/>
      <c r="M83" s="36"/>
      <c r="N83" s="36">
        <f t="shared" si="3"/>
        <v>120</v>
      </c>
    </row>
    <row r="84" spans="1:14">
      <c r="A84" s="118" t="s">
        <v>205</v>
      </c>
      <c r="B84" s="36"/>
      <c r="C84" s="36"/>
      <c r="D84" s="36"/>
      <c r="E84" s="36"/>
      <c r="F84" s="36"/>
      <c r="G84" s="36"/>
      <c r="H84" s="36">
        <v>96</v>
      </c>
      <c r="I84" s="36"/>
      <c r="J84" s="36"/>
      <c r="K84" s="36"/>
      <c r="L84" s="36"/>
      <c r="M84" s="36"/>
      <c r="N84" s="36">
        <f t="shared" si="3"/>
        <v>96</v>
      </c>
    </row>
    <row r="85" spans="1:14">
      <c r="A85" s="39" t="s">
        <v>206</v>
      </c>
      <c r="B85" s="36"/>
      <c r="C85" s="36"/>
      <c r="D85" s="36"/>
      <c r="E85" s="36"/>
      <c r="F85" s="36"/>
      <c r="G85" s="36"/>
      <c r="H85" s="36">
        <v>370</v>
      </c>
      <c r="I85" s="36"/>
      <c r="J85" s="36"/>
      <c r="K85" s="36"/>
      <c r="L85" s="36"/>
      <c r="M85" s="36"/>
      <c r="N85" s="36">
        <f t="shared" si="3"/>
        <v>370</v>
      </c>
    </row>
    <row r="86" spans="1:14">
      <c r="A86" s="39" t="s">
        <v>207</v>
      </c>
      <c r="B86" s="36"/>
      <c r="C86" s="36"/>
      <c r="D86" s="36"/>
      <c r="E86" s="36"/>
      <c r="F86" s="36"/>
      <c r="G86" s="36"/>
      <c r="H86" s="36">
        <v>460</v>
      </c>
      <c r="I86" s="36"/>
      <c r="J86" s="36"/>
      <c r="K86" s="36"/>
      <c r="L86" s="36"/>
      <c r="M86" s="36"/>
      <c r="N86" s="36">
        <f t="shared" si="3"/>
        <v>460</v>
      </c>
    </row>
    <row r="87" spans="1:14">
      <c r="A87" s="39" t="s">
        <v>208</v>
      </c>
      <c r="B87" s="36"/>
      <c r="C87" s="36"/>
      <c r="D87" s="36"/>
      <c r="E87" s="36"/>
      <c r="F87" s="36"/>
      <c r="G87" s="36"/>
      <c r="H87" s="36">
        <v>5128</v>
      </c>
      <c r="I87" s="36"/>
      <c r="J87" s="36"/>
      <c r="K87" s="36"/>
      <c r="L87" s="36"/>
      <c r="M87" s="36"/>
      <c r="N87" s="36">
        <f t="shared" si="3"/>
        <v>5128</v>
      </c>
    </row>
    <row r="88" spans="1:14">
      <c r="A88" s="39" t="s">
        <v>209</v>
      </c>
      <c r="B88" s="36"/>
      <c r="C88" s="36"/>
      <c r="D88" s="36"/>
      <c r="E88" s="36"/>
      <c r="F88" s="36"/>
      <c r="G88" s="36"/>
      <c r="H88" s="36">
        <v>11740</v>
      </c>
      <c r="I88" s="36"/>
      <c r="J88" s="36"/>
      <c r="K88" s="36"/>
      <c r="L88" s="36"/>
      <c r="M88" s="36"/>
      <c r="N88" s="36">
        <f t="shared" si="3"/>
        <v>11740</v>
      </c>
    </row>
    <row r="89" spans="1:14">
      <c r="A89" s="39" t="s">
        <v>210</v>
      </c>
      <c r="B89" s="36"/>
      <c r="C89" s="36"/>
      <c r="D89" s="36"/>
      <c r="E89" s="36"/>
      <c r="F89" s="36"/>
      <c r="G89" s="36"/>
      <c r="H89" s="36">
        <v>2222</v>
      </c>
      <c r="I89" s="36"/>
      <c r="J89" s="36"/>
      <c r="K89" s="36"/>
      <c r="L89" s="36"/>
      <c r="M89" s="36"/>
      <c r="N89" s="36">
        <f t="shared" si="3"/>
        <v>2222</v>
      </c>
    </row>
    <row r="90" spans="1:14">
      <c r="A90" s="39" t="s">
        <v>211</v>
      </c>
      <c r="B90" s="36"/>
      <c r="C90" s="36"/>
      <c r="D90" s="36"/>
      <c r="E90" s="36"/>
      <c r="F90" s="36"/>
      <c r="G90" s="36"/>
      <c r="H90" s="36">
        <v>321</v>
      </c>
      <c r="I90" s="36"/>
      <c r="J90" s="36"/>
      <c r="K90" s="36"/>
      <c r="L90" s="36"/>
      <c r="M90" s="36"/>
      <c r="N90" s="36">
        <f t="shared" si="3"/>
        <v>321</v>
      </c>
    </row>
    <row r="91" spans="1:14">
      <c r="A91" s="39" t="s">
        <v>212</v>
      </c>
      <c r="B91" s="36"/>
      <c r="C91" s="36"/>
      <c r="D91" s="36"/>
      <c r="E91" s="36"/>
      <c r="F91" s="36"/>
      <c r="G91" s="36"/>
      <c r="H91" s="36">
        <v>314</v>
      </c>
      <c r="I91" s="36"/>
      <c r="J91" s="36"/>
      <c r="K91" s="36"/>
      <c r="L91" s="36"/>
      <c r="M91" s="36"/>
      <c r="N91" s="36">
        <f t="shared" si="3"/>
        <v>314</v>
      </c>
    </row>
    <row r="92" spans="1:14">
      <c r="A92" s="39" t="s">
        <v>213</v>
      </c>
      <c r="B92" s="36"/>
      <c r="C92" s="36"/>
      <c r="D92" s="36"/>
      <c r="E92" s="36"/>
      <c r="F92" s="36"/>
      <c r="G92" s="36"/>
      <c r="H92" s="36">
        <v>173</v>
      </c>
      <c r="I92" s="36"/>
      <c r="J92" s="36"/>
      <c r="K92" s="36"/>
      <c r="L92" s="36"/>
      <c r="M92" s="36"/>
      <c r="N92" s="36">
        <f t="shared" si="3"/>
        <v>173</v>
      </c>
    </row>
    <row r="93" spans="1:14">
      <c r="A93" s="39" t="s">
        <v>214</v>
      </c>
      <c r="B93" s="36"/>
      <c r="C93" s="36"/>
      <c r="D93" s="36"/>
      <c r="E93" s="36"/>
      <c r="F93" s="36"/>
      <c r="G93" s="36"/>
      <c r="H93" s="36">
        <v>688</v>
      </c>
      <c r="I93" s="36"/>
      <c r="J93" s="36"/>
      <c r="K93" s="36"/>
      <c r="L93" s="36"/>
      <c r="M93" s="36"/>
      <c r="N93" s="36">
        <f t="shared" si="3"/>
        <v>688</v>
      </c>
    </row>
    <row r="94" spans="1:14">
      <c r="A94" s="39" t="s">
        <v>215</v>
      </c>
      <c r="B94" s="36"/>
      <c r="C94" s="36"/>
      <c r="D94" s="36"/>
      <c r="E94" s="36"/>
      <c r="F94" s="36"/>
      <c r="G94" s="36"/>
      <c r="H94" s="36">
        <v>348</v>
      </c>
      <c r="I94" s="36"/>
      <c r="J94" s="36"/>
      <c r="K94" s="36"/>
      <c r="L94" s="36"/>
      <c r="M94" s="36"/>
      <c r="N94" s="36">
        <f t="shared" si="3"/>
        <v>348</v>
      </c>
    </row>
    <row r="95" spans="1:14">
      <c r="A95" s="39" t="s">
        <v>216</v>
      </c>
      <c r="B95" s="36"/>
      <c r="C95" s="36"/>
      <c r="D95" s="36"/>
      <c r="E95" s="36"/>
      <c r="F95" s="36"/>
      <c r="G95" s="36"/>
      <c r="H95" s="36">
        <v>490</v>
      </c>
      <c r="I95" s="36"/>
      <c r="J95" s="36"/>
      <c r="K95" s="36"/>
      <c r="L95" s="36"/>
      <c r="M95" s="36"/>
      <c r="N95" s="36">
        <f t="shared" si="3"/>
        <v>490</v>
      </c>
    </row>
    <row r="96" spans="1:14">
      <c r="A96" s="39" t="s">
        <v>217</v>
      </c>
      <c r="B96" s="36"/>
      <c r="C96" s="36"/>
      <c r="D96" s="36"/>
      <c r="E96" s="36"/>
      <c r="F96" s="36"/>
      <c r="G96" s="36"/>
      <c r="H96" s="36">
        <v>6900</v>
      </c>
      <c r="I96" s="36">
        <v>6517</v>
      </c>
      <c r="J96" s="36"/>
      <c r="K96" s="36"/>
      <c r="L96" s="36"/>
      <c r="M96" s="36"/>
      <c r="N96" s="36">
        <f t="shared" si="3"/>
        <v>13417</v>
      </c>
    </row>
    <row r="97" spans="1:14">
      <c r="A97" s="39" t="s">
        <v>218</v>
      </c>
      <c r="B97" s="36"/>
      <c r="C97" s="36"/>
      <c r="D97" s="36"/>
      <c r="E97" s="36"/>
      <c r="F97" s="36"/>
      <c r="G97" s="36"/>
      <c r="H97" s="36">
        <v>430</v>
      </c>
      <c r="I97" s="36"/>
      <c r="J97" s="36"/>
      <c r="K97" s="36"/>
      <c r="L97" s="36"/>
      <c r="M97" s="36"/>
      <c r="N97" s="36">
        <f t="shared" si="3"/>
        <v>430</v>
      </c>
    </row>
    <row r="98" spans="1:14">
      <c r="A98" s="39" t="s">
        <v>219</v>
      </c>
      <c r="B98" s="36"/>
      <c r="C98" s="36"/>
      <c r="D98" s="36"/>
      <c r="E98" s="36"/>
      <c r="F98" s="36"/>
      <c r="G98" s="36"/>
      <c r="H98" s="36">
        <v>50</v>
      </c>
      <c r="I98" s="36"/>
      <c r="J98" s="36"/>
      <c r="K98" s="36"/>
      <c r="L98" s="36"/>
      <c r="M98" s="36"/>
      <c r="N98" s="36">
        <f t="shared" si="3"/>
        <v>50</v>
      </c>
    </row>
    <row r="99" spans="1:14">
      <c r="A99" s="39" t="s">
        <v>220</v>
      </c>
      <c r="B99" s="36"/>
      <c r="C99" s="36"/>
      <c r="D99" s="36"/>
      <c r="E99" s="36"/>
      <c r="F99" s="36"/>
      <c r="G99" s="36"/>
      <c r="H99" s="36">
        <v>340</v>
      </c>
      <c r="I99" s="36"/>
      <c r="J99" s="36"/>
      <c r="K99" s="36"/>
      <c r="L99" s="36"/>
      <c r="M99" s="36"/>
      <c r="N99" s="36">
        <f t="shared" si="3"/>
        <v>340</v>
      </c>
    </row>
    <row r="100" spans="1:14">
      <c r="A100" s="39" t="s">
        <v>221</v>
      </c>
      <c r="B100" s="36"/>
      <c r="C100" s="36"/>
      <c r="D100" s="36"/>
      <c r="E100" s="36"/>
      <c r="F100" s="36"/>
      <c r="G100" s="36"/>
      <c r="H100" s="36">
        <v>30</v>
      </c>
      <c r="I100" s="36"/>
      <c r="J100" s="36"/>
      <c r="K100" s="36"/>
      <c r="L100" s="36"/>
      <c r="M100" s="36"/>
      <c r="N100" s="36">
        <f t="shared" si="3"/>
        <v>30</v>
      </c>
    </row>
    <row r="101" spans="1:14">
      <c r="A101" s="39" t="s">
        <v>222</v>
      </c>
      <c r="B101" s="36"/>
      <c r="C101" s="36"/>
      <c r="D101" s="36"/>
      <c r="E101" s="36"/>
      <c r="F101" s="36"/>
      <c r="G101" s="36"/>
      <c r="H101" s="36">
        <v>700</v>
      </c>
      <c r="I101" s="36"/>
      <c r="J101" s="36"/>
      <c r="K101" s="36"/>
      <c r="L101" s="36"/>
      <c r="M101" s="36"/>
      <c r="N101" s="36">
        <f t="shared" si="3"/>
        <v>700</v>
      </c>
    </row>
    <row r="102" spans="1:14">
      <c r="A102" s="39" t="s">
        <v>223</v>
      </c>
      <c r="B102" s="36"/>
      <c r="C102" s="36"/>
      <c r="D102" s="36"/>
      <c r="E102" s="36"/>
      <c r="F102" s="36"/>
      <c r="G102" s="36"/>
      <c r="H102" s="36">
        <v>800</v>
      </c>
      <c r="I102" s="36"/>
      <c r="J102" s="36"/>
      <c r="K102" s="36"/>
      <c r="L102" s="36"/>
      <c r="M102" s="36"/>
      <c r="N102" s="36">
        <f t="shared" si="3"/>
        <v>800</v>
      </c>
    </row>
    <row r="103" spans="1:14">
      <c r="A103" s="39" t="s">
        <v>224</v>
      </c>
      <c r="B103" s="36"/>
      <c r="C103" s="36"/>
      <c r="D103" s="36"/>
      <c r="E103" s="36"/>
      <c r="F103" s="36"/>
      <c r="G103" s="36"/>
      <c r="H103" s="36">
        <v>387</v>
      </c>
      <c r="I103" s="36"/>
      <c r="J103" s="36"/>
      <c r="K103" s="36"/>
      <c r="L103" s="36"/>
      <c r="M103" s="36"/>
      <c r="N103" s="36">
        <f t="shared" si="3"/>
        <v>387</v>
      </c>
    </row>
    <row r="104" spans="1:14">
      <c r="A104" s="39" t="s">
        <v>225</v>
      </c>
      <c r="B104" s="36"/>
      <c r="C104" s="36"/>
      <c r="D104" s="36"/>
      <c r="E104" s="36"/>
      <c r="F104" s="36"/>
      <c r="G104" s="36"/>
      <c r="H104" s="36">
        <v>824</v>
      </c>
      <c r="I104" s="36">
        <v>1000</v>
      </c>
      <c r="J104" s="36"/>
      <c r="K104" s="36"/>
      <c r="L104" s="36"/>
      <c r="M104" s="36"/>
      <c r="N104" s="36">
        <f t="shared" si="3"/>
        <v>1824</v>
      </c>
    </row>
    <row r="105" spans="1:14">
      <c r="A105" s="39" t="s">
        <v>226</v>
      </c>
      <c r="B105" s="36"/>
      <c r="C105" s="36"/>
      <c r="D105" s="36"/>
      <c r="E105" s="36"/>
      <c r="F105" s="36"/>
      <c r="G105" s="36"/>
      <c r="H105" s="36"/>
      <c r="I105" s="36">
        <v>217</v>
      </c>
      <c r="J105" s="36"/>
      <c r="K105" s="36"/>
      <c r="L105" s="36"/>
      <c r="M105" s="36"/>
      <c r="N105" s="36"/>
    </row>
    <row r="106" spans="1:14">
      <c r="A106" s="39" t="s">
        <v>227</v>
      </c>
      <c r="B106" s="36"/>
      <c r="C106" s="36"/>
      <c r="D106" s="36"/>
      <c r="E106" s="36"/>
      <c r="F106" s="36"/>
      <c r="G106" s="36"/>
      <c r="H106" s="36"/>
      <c r="I106" s="36">
        <v>350</v>
      </c>
      <c r="J106" s="36"/>
      <c r="K106" s="36"/>
      <c r="L106" s="36"/>
      <c r="M106" s="36"/>
      <c r="N106" s="36"/>
    </row>
    <row r="107" spans="1:14">
      <c r="A107" s="39" t="s">
        <v>228</v>
      </c>
      <c r="B107" s="36"/>
      <c r="C107" s="36"/>
      <c r="D107" s="36"/>
      <c r="E107" s="36"/>
      <c r="F107" s="36"/>
      <c r="G107" s="36"/>
      <c r="H107" s="36"/>
      <c r="I107" s="36">
        <v>265</v>
      </c>
      <c r="J107" s="36"/>
      <c r="K107" s="36"/>
      <c r="L107" s="36"/>
      <c r="M107" s="36"/>
      <c r="N107" s="36"/>
    </row>
    <row r="108" spans="1:14">
      <c r="A108" s="122" t="s">
        <v>229</v>
      </c>
      <c r="B108" s="20"/>
      <c r="C108" s="20"/>
      <c r="D108" s="20"/>
      <c r="E108" s="20"/>
      <c r="F108" s="20"/>
      <c r="G108" s="20"/>
      <c r="H108" s="20">
        <v>380</v>
      </c>
      <c r="I108" s="20"/>
      <c r="J108" s="20"/>
      <c r="K108" s="20"/>
      <c r="L108" s="20"/>
      <c r="M108" s="20"/>
      <c r="N108" s="36">
        <f t="shared" si="3"/>
        <v>380</v>
      </c>
    </row>
    <row r="109" spans="1:14">
      <c r="A109" s="123" t="s">
        <v>230</v>
      </c>
      <c r="B109" s="124"/>
      <c r="C109" s="124"/>
      <c r="D109" s="124"/>
      <c r="E109" s="124"/>
      <c r="F109" s="124"/>
      <c r="G109" s="124"/>
      <c r="H109" s="124"/>
      <c r="I109" s="124">
        <v>300</v>
      </c>
      <c r="J109" s="124"/>
      <c r="K109" s="124"/>
      <c r="L109" s="124"/>
      <c r="M109" s="124"/>
      <c r="N109" s="36"/>
    </row>
    <row r="110" spans="1:14">
      <c r="A110" s="123" t="s">
        <v>231</v>
      </c>
      <c r="B110" s="124"/>
      <c r="C110" s="124"/>
      <c r="D110" s="124"/>
      <c r="E110" s="124"/>
      <c r="F110" s="124"/>
      <c r="G110" s="124"/>
      <c r="H110" s="124"/>
      <c r="I110" s="124">
        <v>675</v>
      </c>
      <c r="J110" s="124"/>
      <c r="K110" s="124"/>
      <c r="L110" s="124"/>
      <c r="M110" s="124"/>
      <c r="N110" s="36"/>
    </row>
    <row r="111" spans="1:14">
      <c r="A111" s="123" t="s">
        <v>232</v>
      </c>
      <c r="B111" s="124"/>
      <c r="C111" s="124"/>
      <c r="D111" s="124"/>
      <c r="E111" s="124"/>
      <c r="F111" s="124"/>
      <c r="G111" s="124"/>
      <c r="H111" s="124"/>
      <c r="I111" s="124">
        <v>1600</v>
      </c>
      <c r="J111" s="124"/>
      <c r="K111" s="124"/>
      <c r="L111" s="124"/>
      <c r="M111" s="124"/>
      <c r="N111" s="36"/>
    </row>
    <row r="112" spans="1:14">
      <c r="A112" s="123" t="s">
        <v>233</v>
      </c>
      <c r="B112" s="124"/>
      <c r="C112" s="124"/>
      <c r="D112" s="124"/>
      <c r="E112" s="124"/>
      <c r="F112" s="124"/>
      <c r="G112" s="124"/>
      <c r="H112" s="124"/>
      <c r="I112" s="124">
        <v>1380</v>
      </c>
      <c r="J112" s="124"/>
      <c r="K112" s="124"/>
      <c r="L112" s="124"/>
      <c r="M112" s="124"/>
      <c r="N112" s="36"/>
    </row>
    <row r="113" spans="1:14">
      <c r="A113" s="123" t="s">
        <v>234</v>
      </c>
      <c r="B113" s="124"/>
      <c r="C113" s="124"/>
      <c r="D113" s="124"/>
      <c r="E113" s="124"/>
      <c r="F113" s="124"/>
      <c r="G113" s="124"/>
      <c r="H113" s="124"/>
      <c r="I113" s="124">
        <v>1526</v>
      </c>
      <c r="J113" s="124"/>
      <c r="K113" s="124"/>
      <c r="L113" s="124"/>
      <c r="M113" s="124"/>
      <c r="N113" s="36"/>
    </row>
    <row r="114" spans="1:14">
      <c r="A114" s="123" t="s">
        <v>235</v>
      </c>
      <c r="B114" s="124"/>
      <c r="C114" s="124"/>
      <c r="D114" s="124"/>
      <c r="E114" s="124"/>
      <c r="F114" s="124"/>
      <c r="G114" s="124"/>
      <c r="H114" s="124"/>
      <c r="I114" s="124">
        <v>1052</v>
      </c>
      <c r="J114" s="124"/>
      <c r="K114" s="124"/>
      <c r="L114" s="124"/>
      <c r="M114" s="124"/>
      <c r="N114" s="36"/>
    </row>
    <row r="115" spans="1:14">
      <c r="A115" s="28" t="s">
        <v>126</v>
      </c>
      <c r="B115" s="33">
        <f t="shared" ref="B115:H115" si="4">SUM(B1:B108)</f>
        <v>86243.06</v>
      </c>
      <c r="C115" s="33">
        <f t="shared" si="4"/>
        <v>58913.47</v>
      </c>
      <c r="D115" s="33">
        <f t="shared" si="4"/>
        <v>21051.37</v>
      </c>
      <c r="E115" s="33">
        <f t="shared" si="4"/>
        <v>132195</v>
      </c>
      <c r="F115" s="33">
        <f t="shared" si="4"/>
        <v>79836</v>
      </c>
      <c r="G115" s="33">
        <f t="shared" si="4"/>
        <v>117247</v>
      </c>
      <c r="H115" s="33">
        <f t="shared" si="4"/>
        <v>72125</v>
      </c>
      <c r="I115" s="33">
        <f>SUM(I1:I114)</f>
        <v>52147</v>
      </c>
      <c r="J115" s="33">
        <f>SUM(J1:J108)</f>
        <v>0</v>
      </c>
      <c r="K115" s="33">
        <f>SUM(K1:K108)</f>
        <v>0</v>
      </c>
      <c r="L115" s="33">
        <f>SUM(L1:L108)</f>
        <v>0</v>
      </c>
      <c r="M115" s="33">
        <f>SUM(M1:M108)</f>
        <v>0</v>
      </c>
      <c r="N115" s="125">
        <f>SUM(N1:N108)</f>
        <v>612392.9</v>
      </c>
    </row>
    <row r="116" spans="1:14">
      <c r="N116" s="102">
        <f>SUM(B115:M115)-N115</f>
        <v>7365</v>
      </c>
    </row>
  </sheetData>
  <autoFilter ref="A1:A116"/>
  <pageMargins left="0.7" right="0.7" top="0.75" bottom="0.75" header="0.3" footer="0.3"/>
  <pageSetup paperSize="9" scale="46" firstPageNumber="4294967295" orientation="portrait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4506668294322"/>
    <pageSetUpPr fitToPage="1"/>
  </sheetPr>
  <dimension ref="A1:N12"/>
  <sheetViews>
    <sheetView workbookViewId="0">
      <selection activeCell="C4" sqref="C4"/>
    </sheetView>
  </sheetViews>
  <sheetFormatPr defaultColWidth="9" defaultRowHeight="15"/>
  <cols>
    <col min="1" max="1" width="29.85546875" customWidth="1"/>
    <col min="2" max="2" width="11.5703125" style="26" customWidth="1"/>
    <col min="3" max="3" width="10.140625" style="26" customWidth="1"/>
    <col min="4" max="4" width="8.140625" style="26" customWidth="1"/>
    <col min="5" max="5" width="8.28515625" style="26" customWidth="1"/>
    <col min="6" max="6" width="8.42578125" style="26" customWidth="1"/>
    <col min="7" max="8" width="9.140625" style="26"/>
    <col min="9" max="9" width="8.140625" style="26" customWidth="1"/>
    <col min="10" max="10" width="8.28515625" style="26" customWidth="1"/>
    <col min="11" max="11" width="9.28515625" style="26" customWidth="1"/>
    <col min="12" max="13" width="9.140625" style="26"/>
    <col min="14" max="14" width="11.85546875" style="26" customWidth="1"/>
  </cols>
  <sheetData>
    <row r="1" spans="1:14">
      <c r="A1" s="2" t="s">
        <v>29</v>
      </c>
      <c r="B1" s="3" t="str">
        <f>'ВСЕ затраты'!B1</f>
        <v>2024-2025гг.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3"/>
    </row>
    <row r="2" spans="1:14">
      <c r="A2" s="5"/>
      <c r="B2" s="31" t="s">
        <v>9</v>
      </c>
      <c r="C2" s="32" t="s">
        <v>14</v>
      </c>
      <c r="D2" s="38" t="s">
        <v>15</v>
      </c>
      <c r="E2" s="32" t="s">
        <v>16</v>
      </c>
      <c r="F2" s="32" t="s">
        <v>17</v>
      </c>
      <c r="G2" s="32" t="s">
        <v>18</v>
      </c>
      <c r="H2" s="32" t="s">
        <v>19</v>
      </c>
      <c r="I2" s="32" t="s">
        <v>4</v>
      </c>
      <c r="J2" s="32" t="s">
        <v>5</v>
      </c>
      <c r="K2" s="32" t="s">
        <v>6</v>
      </c>
      <c r="L2" s="32" t="s">
        <v>7</v>
      </c>
      <c r="M2" s="32" t="s">
        <v>8</v>
      </c>
      <c r="N2" s="32"/>
    </row>
    <row r="3" spans="1:14">
      <c r="A3" s="13" t="s">
        <v>236</v>
      </c>
      <c r="B3" s="9">
        <v>17000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6">
        <f>SUM(B3:M3)</f>
        <v>17000</v>
      </c>
    </row>
    <row r="4" spans="1:14">
      <c r="A4" s="13" t="s">
        <v>237</v>
      </c>
      <c r="B4" s="9"/>
      <c r="C4" s="9">
        <f>10000+2399</f>
        <v>12399</v>
      </c>
      <c r="D4" s="9"/>
      <c r="E4" s="9"/>
      <c r="F4" s="9"/>
      <c r="G4" s="9"/>
      <c r="H4" s="9"/>
      <c r="I4" s="9"/>
      <c r="J4" s="9"/>
      <c r="K4" s="9"/>
      <c r="L4" s="9"/>
      <c r="M4" s="9"/>
      <c r="N4" s="36">
        <f t="shared" ref="N4:N7" si="0">SUM(B4:M4)</f>
        <v>12399</v>
      </c>
    </row>
    <row r="5" spans="1:14">
      <c r="A5" s="99" t="s">
        <v>238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6">
        <f t="shared" si="0"/>
        <v>0</v>
      </c>
    </row>
    <row r="6" spans="1:14">
      <c r="A6" s="13" t="s">
        <v>239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6">
        <f t="shared" si="0"/>
        <v>0</v>
      </c>
    </row>
    <row r="7" spans="1:14">
      <c r="A7" s="13" t="s">
        <v>240</v>
      </c>
      <c r="B7" s="9"/>
      <c r="C7" s="9"/>
      <c r="D7" s="9"/>
      <c r="E7" s="9"/>
      <c r="F7" s="9"/>
      <c r="G7" s="9"/>
      <c r="H7" s="9"/>
      <c r="I7" s="9"/>
      <c r="J7" s="9"/>
      <c r="K7" s="101"/>
      <c r="L7" s="9"/>
      <c r="M7" s="9"/>
      <c r="N7" s="36">
        <f t="shared" si="0"/>
        <v>0</v>
      </c>
    </row>
    <row r="8" spans="1:14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/>
    </row>
    <row r="10" spans="1:14">
      <c r="A10" s="100" t="s">
        <v>126</v>
      </c>
      <c r="B10" s="97">
        <f t="shared" ref="B10:H10" si="1">SUM(B3:B8)</f>
        <v>17000</v>
      </c>
      <c r="C10" s="97">
        <f t="shared" si="1"/>
        <v>12399</v>
      </c>
      <c r="D10" s="97">
        <f t="shared" si="1"/>
        <v>0</v>
      </c>
      <c r="E10" s="97">
        <f t="shared" si="1"/>
        <v>0</v>
      </c>
      <c r="F10" s="97">
        <f t="shared" si="1"/>
        <v>0</v>
      </c>
      <c r="G10" s="97">
        <f t="shared" si="1"/>
        <v>0</v>
      </c>
      <c r="H10" s="97">
        <f t="shared" si="1"/>
        <v>0</v>
      </c>
      <c r="I10" s="97">
        <f t="shared" ref="I10:N10" si="2">SUM(I3:I8)</f>
        <v>0</v>
      </c>
      <c r="J10" s="97">
        <f t="shared" si="2"/>
        <v>0</v>
      </c>
      <c r="K10" s="97">
        <f t="shared" si="2"/>
        <v>0</v>
      </c>
      <c r="L10" s="97">
        <f t="shared" si="2"/>
        <v>0</v>
      </c>
      <c r="M10" s="97">
        <f t="shared" si="2"/>
        <v>0</v>
      </c>
      <c r="N10" s="97">
        <f t="shared" si="2"/>
        <v>29399</v>
      </c>
    </row>
    <row r="12" spans="1:14">
      <c r="N12" s="24">
        <f>SUM(B10:M10)-N10</f>
        <v>0</v>
      </c>
    </row>
  </sheetData>
  <pageMargins left="0.25" right="0.25" top="0.75" bottom="0.75" header="0.3" footer="0.3"/>
  <pageSetup paperSize="9" scale="97" firstPageNumber="4294967295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I7" sqref="I7"/>
    </sheetView>
  </sheetViews>
  <sheetFormatPr defaultColWidth="9" defaultRowHeight="15"/>
  <cols>
    <col min="1" max="1" width="19.5703125" customWidth="1"/>
    <col min="2" max="2" width="11.5703125" style="26" customWidth="1"/>
    <col min="3" max="3" width="9.28515625" style="26" customWidth="1"/>
    <col min="4" max="5" width="8.28515625" style="26" customWidth="1"/>
    <col min="6" max="7" width="9.28515625" style="26" customWidth="1"/>
    <col min="8" max="13" width="8.28515625" style="26" customWidth="1"/>
    <col min="14" max="14" width="12.85546875" style="26" customWidth="1"/>
  </cols>
  <sheetData>
    <row r="1" spans="1:14">
      <c r="A1" s="2" t="s">
        <v>30</v>
      </c>
      <c r="B1" s="3" t="str">
        <f>'ВСЕ затраты'!B1</f>
        <v>2024-2025гг.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3"/>
    </row>
    <row r="2" spans="1:14">
      <c r="A2" s="5"/>
      <c r="B2" s="32" t="s">
        <v>9</v>
      </c>
      <c r="C2" s="32" t="s">
        <v>14</v>
      </c>
      <c r="D2" s="38" t="s">
        <v>15</v>
      </c>
      <c r="E2" s="32" t="s">
        <v>16</v>
      </c>
      <c r="F2" s="32" t="s">
        <v>17</v>
      </c>
      <c r="G2" s="32" t="s">
        <v>18</v>
      </c>
      <c r="H2" s="32" t="s">
        <v>19</v>
      </c>
      <c r="I2" s="32" t="s">
        <v>4</v>
      </c>
      <c r="J2" s="32" t="s">
        <v>5</v>
      </c>
      <c r="K2" s="32" t="s">
        <v>6</v>
      </c>
      <c r="L2" s="32" t="s">
        <v>7</v>
      </c>
      <c r="M2" s="32" t="s">
        <v>8</v>
      </c>
      <c r="N2" s="32"/>
    </row>
    <row r="3" spans="1:14">
      <c r="A3" s="4"/>
      <c r="B3" s="94"/>
      <c r="C3" s="94"/>
      <c r="D3" s="95"/>
      <c r="E3" s="94"/>
      <c r="F3" s="94"/>
      <c r="G3" s="94"/>
      <c r="H3" s="94"/>
      <c r="I3" s="94"/>
      <c r="J3" s="94"/>
      <c r="K3" s="94"/>
      <c r="L3" s="94"/>
      <c r="M3" s="94"/>
      <c r="N3" s="31">
        <f t="shared" ref="N3:N7" si="0">SUM(B3:M3)</f>
        <v>0</v>
      </c>
    </row>
    <row r="4" spans="1:14">
      <c r="A4" s="13" t="s">
        <v>241</v>
      </c>
      <c r="B4" s="9">
        <v>1200</v>
      </c>
      <c r="C4" s="9">
        <v>1200</v>
      </c>
      <c r="D4" s="9"/>
      <c r="E4" s="9">
        <v>2400</v>
      </c>
      <c r="F4" s="9">
        <v>1200</v>
      </c>
      <c r="G4" s="9">
        <v>1200</v>
      </c>
      <c r="H4" s="9">
        <v>1200</v>
      </c>
      <c r="I4" s="9">
        <v>7700</v>
      </c>
      <c r="J4" s="9"/>
      <c r="K4" s="9"/>
      <c r="L4" s="9"/>
      <c r="M4" s="9"/>
      <c r="N4" s="9">
        <f t="shared" si="0"/>
        <v>16100</v>
      </c>
    </row>
    <row r="5" spans="1:14">
      <c r="A5" s="13" t="s">
        <v>242</v>
      </c>
      <c r="B5" s="9">
        <v>4000</v>
      </c>
      <c r="C5" s="9">
        <v>4000</v>
      </c>
      <c r="D5" s="9"/>
      <c r="E5" s="9">
        <v>8000</v>
      </c>
      <c r="F5" s="9">
        <v>4000</v>
      </c>
      <c r="G5" s="9">
        <v>4000</v>
      </c>
      <c r="H5" s="9">
        <v>4000</v>
      </c>
      <c r="I5" s="9"/>
      <c r="J5" s="9"/>
      <c r="K5" s="9"/>
      <c r="L5" s="9"/>
      <c r="M5" s="9"/>
      <c r="N5" s="9">
        <f t="shared" si="0"/>
        <v>28000</v>
      </c>
    </row>
    <row r="6" spans="1:14">
      <c r="A6" s="13" t="s">
        <v>243</v>
      </c>
      <c r="B6" s="9">
        <v>1000</v>
      </c>
      <c r="C6" s="9">
        <v>1000</v>
      </c>
      <c r="D6" s="9"/>
      <c r="E6" s="9">
        <v>2000</v>
      </c>
      <c r="F6" s="9">
        <v>1000</v>
      </c>
      <c r="G6" s="9">
        <v>1000</v>
      </c>
      <c r="H6" s="9">
        <v>1000</v>
      </c>
      <c r="I6" s="9">
        <v>1000</v>
      </c>
      <c r="J6" s="9"/>
      <c r="K6" s="9"/>
      <c r="L6" s="9"/>
      <c r="M6" s="9"/>
      <c r="N6" s="9">
        <f t="shared" si="0"/>
        <v>8000</v>
      </c>
    </row>
    <row r="7" spans="1:14">
      <c r="A7" s="13" t="s">
        <v>244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</row>
    <row r="8" spans="1:14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6" t="s">
        <v>126</v>
      </c>
      <c r="B9" s="97">
        <f t="shared" ref="B9:N9" si="1">SUM(B3:B8)</f>
        <v>6200</v>
      </c>
      <c r="C9" s="97">
        <f t="shared" si="1"/>
        <v>6200</v>
      </c>
      <c r="D9" s="97">
        <f t="shared" si="1"/>
        <v>0</v>
      </c>
      <c r="E9" s="97">
        <f t="shared" si="1"/>
        <v>12400</v>
      </c>
      <c r="F9" s="97">
        <f t="shared" si="1"/>
        <v>6200</v>
      </c>
      <c r="G9" s="97">
        <f t="shared" si="1"/>
        <v>6200</v>
      </c>
      <c r="H9" s="97">
        <f t="shared" si="1"/>
        <v>6200</v>
      </c>
      <c r="I9" s="97">
        <f t="shared" si="1"/>
        <v>8700</v>
      </c>
      <c r="J9" s="97">
        <f t="shared" si="1"/>
        <v>0</v>
      </c>
      <c r="K9" s="97">
        <f t="shared" si="1"/>
        <v>0</v>
      </c>
      <c r="L9" s="97">
        <f t="shared" si="1"/>
        <v>0</v>
      </c>
      <c r="M9" s="97">
        <f t="shared" si="1"/>
        <v>0</v>
      </c>
      <c r="N9" s="98">
        <f t="shared" si="1"/>
        <v>52100</v>
      </c>
    </row>
    <row r="11" spans="1:14">
      <c r="N11" s="24">
        <f>SUM(B9:M9)-N9</f>
        <v>0</v>
      </c>
    </row>
  </sheetData>
  <pageMargins left="0.7" right="0.7" top="0.75" bottom="0.75" header="0.3" footer="0.3"/>
  <pageSetup paperSize="9" firstPageNumber="4294967295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I4" sqref="I4"/>
    </sheetView>
  </sheetViews>
  <sheetFormatPr defaultColWidth="9" defaultRowHeight="15"/>
  <cols>
    <col min="1" max="1" width="26.7109375" customWidth="1"/>
    <col min="2" max="2" width="12.85546875" customWidth="1"/>
    <col min="3" max="3" width="14.5703125" customWidth="1"/>
    <col min="4" max="4" width="12.85546875" customWidth="1"/>
    <col min="5" max="5" width="19.140625" customWidth="1"/>
    <col min="6" max="7" width="14.28515625" customWidth="1"/>
    <col min="8" max="8" width="16.42578125" customWidth="1"/>
    <col min="9" max="9" width="14.5703125" customWidth="1"/>
    <col min="10" max="13" width="12.85546875" customWidth="1"/>
    <col min="14" max="14" width="15.5703125" customWidth="1"/>
  </cols>
  <sheetData>
    <row r="1" spans="1:14">
      <c r="A1" s="2" t="s">
        <v>245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5"/>
      <c r="B2" s="31" t="s">
        <v>9</v>
      </c>
      <c r="C2" s="31" t="s">
        <v>14</v>
      </c>
      <c r="D2" s="31" t="s">
        <v>15</v>
      </c>
      <c r="E2" s="31" t="s">
        <v>16</v>
      </c>
      <c r="F2" s="31" t="s">
        <v>17</v>
      </c>
      <c r="G2" s="31" t="s">
        <v>18</v>
      </c>
      <c r="H2" s="31" t="s">
        <v>19</v>
      </c>
      <c r="I2" s="31" t="s">
        <v>4</v>
      </c>
      <c r="J2" s="31" t="s">
        <v>5</v>
      </c>
      <c r="K2" s="31" t="s">
        <v>6</v>
      </c>
      <c r="L2" s="31" t="s">
        <v>7</v>
      </c>
      <c r="M2" s="31" t="s">
        <v>8</v>
      </c>
      <c r="N2" s="92" t="s">
        <v>126</v>
      </c>
    </row>
    <row r="3" spans="1:14" ht="25.5" customHeight="1">
      <c r="A3" s="87" t="s">
        <v>246</v>
      </c>
      <c r="B3" s="57">
        <v>695673</v>
      </c>
      <c r="C3" s="57">
        <f>32471+58558+185686-104000-13000+43671.56+147264.92+138896.59+162046+50000+10005+110649.93+87863+37377+128304+16350-14300+103617-8100</f>
        <v>1173360</v>
      </c>
      <c r="D3" s="57">
        <f>58974+139595.25+56776.5+179797.63+45675+34777+111696+111815+14608-41000</f>
        <v>712714.38</v>
      </c>
      <c r="E3" s="57">
        <v>924244</v>
      </c>
      <c r="F3" s="57">
        <v>975264</v>
      </c>
      <c r="G3" s="57">
        <v>843131</v>
      </c>
      <c r="H3" s="57">
        <v>932402</v>
      </c>
      <c r="I3" s="57">
        <v>796388</v>
      </c>
      <c r="J3" s="57"/>
      <c r="K3" s="57"/>
      <c r="L3" s="57"/>
      <c r="M3" s="57"/>
      <c r="N3" s="93">
        <f>SUM(B3:M3)</f>
        <v>7053176.3799999999</v>
      </c>
    </row>
    <row r="4" spans="1:14">
      <c r="A4" s="87" t="s">
        <v>247</v>
      </c>
      <c r="B4" s="88">
        <v>80000</v>
      </c>
      <c r="C4" s="57">
        <f>5000+85000</f>
        <v>90000</v>
      </c>
      <c r="D4" s="88">
        <f>85000+36000</f>
        <v>121000</v>
      </c>
      <c r="E4" s="88">
        <v>95000</v>
      </c>
      <c r="F4" s="88">
        <v>80000</v>
      </c>
      <c r="G4" s="88">
        <v>80000</v>
      </c>
      <c r="H4" s="88">
        <v>85000</v>
      </c>
      <c r="I4" s="88">
        <v>80000</v>
      </c>
      <c r="J4" s="57"/>
      <c r="K4" s="57"/>
      <c r="L4" s="57"/>
      <c r="M4" s="57"/>
      <c r="N4" s="93">
        <f>SUM(B4:M4)</f>
        <v>711000</v>
      </c>
    </row>
    <row r="5" spans="1:14">
      <c r="A5" s="12"/>
      <c r="B5" s="89"/>
      <c r="C5" s="51"/>
      <c r="D5" s="89"/>
      <c r="E5" s="89"/>
      <c r="F5" s="89"/>
      <c r="G5" s="89"/>
      <c r="H5" s="89"/>
      <c r="I5" s="89"/>
      <c r="J5" s="51"/>
      <c r="K5" s="51"/>
      <c r="L5" s="51"/>
      <c r="M5" s="51"/>
      <c r="N5" s="93"/>
    </row>
    <row r="6" spans="1:14">
      <c r="A6" s="2" t="s">
        <v>126</v>
      </c>
      <c r="B6" s="90">
        <f t="shared" ref="B6:N6" si="0">SUM(B3:B5)</f>
        <v>775673</v>
      </c>
      <c r="C6" s="90">
        <f t="shared" si="0"/>
        <v>1263360</v>
      </c>
      <c r="D6" s="90">
        <f t="shared" si="0"/>
        <v>833714.38</v>
      </c>
      <c r="E6" s="90">
        <f t="shared" si="0"/>
        <v>1019244</v>
      </c>
      <c r="F6" s="90">
        <f t="shared" si="0"/>
        <v>1055264</v>
      </c>
      <c r="G6" s="90">
        <f t="shared" si="0"/>
        <v>923131</v>
      </c>
      <c r="H6" s="90">
        <f t="shared" si="0"/>
        <v>1017402</v>
      </c>
      <c r="I6" s="90">
        <f t="shared" si="0"/>
        <v>876388</v>
      </c>
      <c r="J6" s="90">
        <f t="shared" si="0"/>
        <v>0</v>
      </c>
      <c r="K6" s="90">
        <f t="shared" si="0"/>
        <v>0</v>
      </c>
      <c r="L6" s="90">
        <f t="shared" si="0"/>
        <v>0</v>
      </c>
      <c r="M6" s="90">
        <f t="shared" si="0"/>
        <v>0</v>
      </c>
      <c r="N6" s="90">
        <f t="shared" si="0"/>
        <v>7764176.3799999999</v>
      </c>
    </row>
    <row r="8" spans="1:14">
      <c r="N8" s="24">
        <f>SUM(B6:M6)-N6</f>
        <v>0</v>
      </c>
    </row>
    <row r="10" spans="1:14" s="80" customFormat="1" ht="15.75">
      <c r="M10" s="31"/>
    </row>
    <row r="11" spans="1:14" ht="18.7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25"/>
    </row>
  </sheetData>
  <pageMargins left="0.7" right="0.7" top="0.75" bottom="0.75" header="0.3" footer="0.3"/>
  <pageSetup paperSize="9" scale="82" firstPageNumber="4294967295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F4" sqref="F4"/>
    </sheetView>
  </sheetViews>
  <sheetFormatPr defaultColWidth="9" defaultRowHeight="15"/>
  <cols>
    <col min="1" max="1" width="20.28515625" style="26" customWidth="1"/>
    <col min="2" max="2" width="9.140625" style="26"/>
    <col min="3" max="3" width="10.28515625" style="26" customWidth="1"/>
    <col min="4" max="12" width="9.140625" style="26"/>
    <col min="13" max="14" width="15.5703125" style="26" customWidth="1"/>
  </cols>
  <sheetData>
    <row r="1" spans="1:14">
      <c r="A1" s="3" t="s">
        <v>33</v>
      </c>
      <c r="B1" s="3" t="str">
        <f>'ВСЕ затраты'!B1</f>
        <v>2024-2025гг.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3"/>
    </row>
    <row r="2" spans="1:14">
      <c r="A2" s="83"/>
      <c r="B2" s="31" t="s">
        <v>9</v>
      </c>
      <c r="C2" s="32" t="s">
        <v>14</v>
      </c>
      <c r="D2" s="31" t="s">
        <v>15</v>
      </c>
      <c r="E2" s="32" t="s">
        <v>16</v>
      </c>
      <c r="F2" s="31" t="s">
        <v>17</v>
      </c>
      <c r="G2" s="32" t="s">
        <v>18</v>
      </c>
      <c r="H2" s="31" t="s">
        <v>19</v>
      </c>
      <c r="I2" s="32" t="s">
        <v>4</v>
      </c>
      <c r="J2" s="31" t="s">
        <v>5</v>
      </c>
      <c r="K2" s="32" t="s">
        <v>6</v>
      </c>
      <c r="L2" s="31" t="s">
        <v>7</v>
      </c>
      <c r="M2" s="32" t="s">
        <v>8</v>
      </c>
      <c r="N2" s="32"/>
    </row>
    <row r="3" spans="1:14" ht="29.25" customHeight="1">
      <c r="A3" s="84" t="s">
        <v>248</v>
      </c>
      <c r="B3" s="9">
        <v>40000</v>
      </c>
      <c r="C3" s="9">
        <f>7000+41000+69000</f>
        <v>117000</v>
      </c>
      <c r="D3" s="9">
        <v>41000</v>
      </c>
      <c r="E3" s="9">
        <v>40019</v>
      </c>
      <c r="F3" s="9">
        <v>0</v>
      </c>
      <c r="G3" s="9"/>
      <c r="H3" s="9"/>
      <c r="I3" s="9"/>
      <c r="J3" s="9"/>
      <c r="K3" s="9"/>
      <c r="L3" s="9"/>
      <c r="M3" s="9"/>
      <c r="N3" s="9">
        <f>SUM(B3:M3)</f>
        <v>238019</v>
      </c>
    </row>
    <row r="4" spans="1:14">
      <c r="A4" s="8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SUM(B4:M4)</f>
        <v>0</v>
      </c>
    </row>
    <row r="5" spans="1:14">
      <c r="A5" s="3" t="s">
        <v>126</v>
      </c>
      <c r="B5" s="33">
        <f t="shared" ref="B5:N5" si="0">SUM(B3:B4)</f>
        <v>40000</v>
      </c>
      <c r="C5" s="33">
        <f t="shared" si="0"/>
        <v>117000</v>
      </c>
      <c r="D5" s="33">
        <f t="shared" si="0"/>
        <v>41000</v>
      </c>
      <c r="E5" s="33">
        <f t="shared" si="0"/>
        <v>40019</v>
      </c>
      <c r="F5" s="33">
        <f t="shared" si="0"/>
        <v>0</v>
      </c>
      <c r="G5" s="33">
        <f t="shared" si="0"/>
        <v>0</v>
      </c>
      <c r="H5" s="33">
        <f t="shared" si="0"/>
        <v>0</v>
      </c>
      <c r="I5" s="33">
        <f t="shared" si="0"/>
        <v>0</v>
      </c>
      <c r="J5" s="33">
        <f t="shared" si="0"/>
        <v>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33">
        <f t="shared" si="0"/>
        <v>238019</v>
      </c>
    </row>
    <row r="6" spans="1:14">
      <c r="C6" s="85"/>
      <c r="D6" s="85"/>
      <c r="E6" s="85"/>
      <c r="F6" s="85"/>
      <c r="G6" s="85"/>
      <c r="H6" s="85"/>
    </row>
    <row r="7" spans="1:14">
      <c r="N7" s="24">
        <f>SUM(B5:M5)-N5</f>
        <v>0</v>
      </c>
    </row>
    <row r="8" spans="1:14">
      <c r="A8" s="86"/>
    </row>
  </sheetData>
  <pageMargins left="0.7" right="0.7" top="0.75" bottom="0.75" header="0.3" footer="0.3"/>
  <pageSetup paperSize="9" scale="90" firstPageNumber="4294967295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I4" sqref="I4"/>
    </sheetView>
  </sheetViews>
  <sheetFormatPr defaultColWidth="9" defaultRowHeight="15"/>
  <cols>
    <col min="1" max="1" width="28.28515625" customWidth="1"/>
    <col min="2" max="2" width="11.5703125" customWidth="1"/>
    <col min="3" max="5" width="10.28515625" customWidth="1"/>
    <col min="6" max="6" width="12.7109375" customWidth="1"/>
    <col min="7" max="7" width="10.7109375" customWidth="1"/>
    <col min="8" max="10" width="10.28515625" customWidth="1"/>
    <col min="11" max="11" width="10.85546875" customWidth="1"/>
    <col min="12" max="13" width="10.28515625" customWidth="1"/>
    <col min="14" max="14" width="11.85546875" customWidth="1"/>
  </cols>
  <sheetData>
    <row r="1" spans="1:14">
      <c r="A1" s="2" t="s">
        <v>34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5"/>
      <c r="B2" s="38" t="s">
        <v>9</v>
      </c>
      <c r="C2" s="32" t="s">
        <v>14</v>
      </c>
      <c r="D2" s="38" t="s">
        <v>15</v>
      </c>
      <c r="E2" s="32" t="s">
        <v>16</v>
      </c>
      <c r="F2" s="38" t="s">
        <v>17</v>
      </c>
      <c r="G2" s="32" t="s">
        <v>18</v>
      </c>
      <c r="H2" s="38" t="s">
        <v>19</v>
      </c>
      <c r="I2" s="32" t="s">
        <v>4</v>
      </c>
      <c r="J2" s="38" t="s">
        <v>5</v>
      </c>
      <c r="K2" s="32" t="s">
        <v>6</v>
      </c>
      <c r="L2" s="38" t="s">
        <v>7</v>
      </c>
      <c r="M2" s="32" t="s">
        <v>8</v>
      </c>
      <c r="N2" s="32"/>
    </row>
    <row r="3" spans="1:14">
      <c r="A3" s="13" t="s">
        <v>249</v>
      </c>
      <c r="B3" s="9">
        <f>1937.92+290687.11</f>
        <v>292625.03000000003</v>
      </c>
      <c r="C3" s="9">
        <f>1779.43+266910.97</f>
        <v>268690.40000000002</v>
      </c>
      <c r="D3" s="9">
        <f>3844.81+235153</f>
        <v>238997.81</v>
      </c>
      <c r="E3" s="9">
        <v>171007</v>
      </c>
      <c r="F3" s="9">
        <v>254479</v>
      </c>
      <c r="G3" s="9">
        <v>513335</v>
      </c>
      <c r="H3" s="9">
        <v>271664</v>
      </c>
      <c r="I3" s="9">
        <v>405612</v>
      </c>
      <c r="J3" s="9"/>
      <c r="K3" s="9"/>
      <c r="L3" s="9"/>
      <c r="M3" s="9"/>
      <c r="N3" s="36">
        <f>SUM(B3:M3)</f>
        <v>2416410.2400000002</v>
      </c>
    </row>
    <row r="4" spans="1:14">
      <c r="A4" s="13"/>
      <c r="B4" s="9"/>
      <c r="C4" s="9" t="s">
        <v>250</v>
      </c>
      <c r="D4" s="9"/>
      <c r="E4" s="9"/>
      <c r="F4" s="9"/>
      <c r="G4" s="9"/>
      <c r="H4" s="9"/>
      <c r="I4" s="9"/>
      <c r="J4" s="9"/>
      <c r="K4" s="9"/>
      <c r="L4" s="9"/>
      <c r="M4" s="9"/>
      <c r="N4" s="36">
        <f>SUM(B4:M4)</f>
        <v>0</v>
      </c>
    </row>
    <row r="5" spans="1:14">
      <c r="A5" s="13" t="s">
        <v>251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6">
        <f>SUM(B5:M5)</f>
        <v>0</v>
      </c>
    </row>
    <row r="6" spans="1:14">
      <c r="A6" s="2" t="s">
        <v>126</v>
      </c>
      <c r="B6" s="33">
        <f t="shared" ref="B6:N6" si="0">SUM(B3:B5)</f>
        <v>292625.03000000003</v>
      </c>
      <c r="C6" s="33">
        <f t="shared" si="0"/>
        <v>268690.40000000002</v>
      </c>
      <c r="D6" s="33">
        <f t="shared" si="0"/>
        <v>238997.81</v>
      </c>
      <c r="E6" s="33">
        <f t="shared" si="0"/>
        <v>171007</v>
      </c>
      <c r="F6" s="33">
        <f t="shared" si="0"/>
        <v>254479</v>
      </c>
      <c r="G6" s="33">
        <f t="shared" si="0"/>
        <v>513335</v>
      </c>
      <c r="H6" s="33">
        <f t="shared" si="0"/>
        <v>271664</v>
      </c>
      <c r="I6" s="33">
        <f t="shared" si="0"/>
        <v>405612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33">
        <f t="shared" si="0"/>
        <v>2416410.2400000002</v>
      </c>
    </row>
    <row r="8" spans="1:14">
      <c r="N8" s="24">
        <f>SUM(B6:M6)-N6</f>
        <v>0</v>
      </c>
    </row>
    <row r="9" spans="1:14" ht="15.75" hidden="1">
      <c r="A9" s="431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</row>
    <row r="10" spans="1:14" ht="15.75" hidden="1">
      <c r="A10" s="431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</row>
    <row r="11" spans="1:14" hidden="1"/>
    <row r="12" spans="1:14" ht="15.75" hidden="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4" ht="15.75" hidden="1">
      <c r="A13" s="432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3"/>
    </row>
    <row r="14" spans="1:14" hidden="1"/>
  </sheetData>
  <mergeCells count="3">
    <mergeCell ref="A9:L9"/>
    <mergeCell ref="A10:L10"/>
    <mergeCell ref="A13:L13"/>
  </mergeCells>
  <pageMargins left="0.25" right="0.25" top="0.75" bottom="0.75" header="0.3" footer="0.3"/>
  <pageSetup paperSize="9" scale="97" firstPageNumber="4294967295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I5" sqref="I5"/>
    </sheetView>
  </sheetViews>
  <sheetFormatPr defaultColWidth="9" defaultRowHeight="15"/>
  <cols>
    <col min="1" max="1" width="38" customWidth="1"/>
    <col min="2" max="4" width="12.85546875" customWidth="1"/>
    <col min="5" max="7" width="10.28515625" customWidth="1"/>
    <col min="8" max="13" width="12.85546875" customWidth="1"/>
    <col min="14" max="14" width="14.5703125" customWidth="1"/>
  </cols>
  <sheetData>
    <row r="1" spans="1:14">
      <c r="A1" s="2" t="s">
        <v>36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78"/>
      <c r="J1" s="78"/>
      <c r="K1" s="78"/>
      <c r="L1" s="78"/>
      <c r="M1" s="78"/>
      <c r="N1" s="5"/>
    </row>
    <row r="2" spans="1:14">
      <c r="A2" s="5"/>
      <c r="B2" s="7" t="s">
        <v>9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/>
    </row>
    <row r="3" spans="1:14">
      <c r="A3" s="13" t="s">
        <v>252</v>
      </c>
      <c r="B3" s="9">
        <v>609000</v>
      </c>
      <c r="C3" s="9">
        <v>382800</v>
      </c>
      <c r="D3" s="9">
        <v>197200</v>
      </c>
      <c r="E3" s="9">
        <v>214600</v>
      </c>
      <c r="F3" s="9">
        <v>156600</v>
      </c>
      <c r="G3" s="9">
        <v>307400</v>
      </c>
      <c r="H3" s="9">
        <v>411800</v>
      </c>
      <c r="I3" s="9">
        <v>382800</v>
      </c>
      <c r="J3" s="9"/>
      <c r="K3" s="9"/>
      <c r="L3" s="9"/>
      <c r="M3" s="9"/>
      <c r="N3" s="9">
        <f>SUM(B3:M3)</f>
        <v>2662200</v>
      </c>
    </row>
    <row r="4" spans="1:14">
      <c r="A4" s="13" t="s">
        <v>253</v>
      </c>
      <c r="B4" s="9"/>
      <c r="C4" s="9">
        <v>26408.62</v>
      </c>
      <c r="D4" s="9"/>
      <c r="E4" s="9"/>
      <c r="F4" s="9">
        <v>27763</v>
      </c>
      <c r="G4" s="9">
        <v>26408</v>
      </c>
      <c r="H4" s="9">
        <v>158094</v>
      </c>
      <c r="I4" s="9">
        <v>36904</v>
      </c>
      <c r="J4" s="9"/>
      <c r="K4" s="9"/>
      <c r="L4" s="9"/>
      <c r="M4" s="9"/>
      <c r="N4" s="9">
        <f t="shared" ref="N4:N9" si="0">SUM(B4:M4)</f>
        <v>275577.62</v>
      </c>
    </row>
    <row r="5" spans="1:14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 t="shared" si="0"/>
        <v>0</v>
      </c>
    </row>
    <row r="6" spans="1:14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f t="shared" si="0"/>
        <v>0</v>
      </c>
    </row>
    <row r="7" spans="1:14">
      <c r="A7" s="1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</row>
    <row r="8" spans="1:14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si="0"/>
        <v>0</v>
      </c>
    </row>
    <row r="9" spans="1:14">
      <c r="A9" s="1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 t="shared" si="0"/>
        <v>0</v>
      </c>
    </row>
    <row r="10" spans="1:14">
      <c r="A10" s="2" t="s">
        <v>126</v>
      </c>
      <c r="B10" s="21">
        <f t="shared" ref="B10:N10" si="1">SUM(B3:B9)</f>
        <v>609000</v>
      </c>
      <c r="C10" s="21">
        <f t="shared" si="1"/>
        <v>409208.62</v>
      </c>
      <c r="D10" s="21">
        <f t="shared" si="1"/>
        <v>197200</v>
      </c>
      <c r="E10" s="21">
        <f t="shared" si="1"/>
        <v>214600</v>
      </c>
      <c r="F10" s="21">
        <f t="shared" si="1"/>
        <v>184363</v>
      </c>
      <c r="G10" s="21">
        <f t="shared" si="1"/>
        <v>333808</v>
      </c>
      <c r="H10" s="21">
        <f t="shared" si="1"/>
        <v>569894</v>
      </c>
      <c r="I10" s="21">
        <f t="shared" si="1"/>
        <v>419704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2937777.62</v>
      </c>
    </row>
    <row r="12" spans="1:14">
      <c r="N12" s="24">
        <f>SUM(B10:M10)-N10</f>
        <v>0</v>
      </c>
    </row>
  </sheetData>
  <pageMargins left="0.25" right="0.25" top="0.75" bottom="0.75" header="0.3" footer="0.3"/>
  <pageSetup paperSize="9" scale="74" firstPageNumber="429496729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8"/>
  <sheetViews>
    <sheetView workbookViewId="0">
      <selection activeCell="I23" sqref="I23"/>
    </sheetView>
  </sheetViews>
  <sheetFormatPr defaultColWidth="9" defaultRowHeight="15"/>
  <cols>
    <col min="1" max="1" width="35.140625" customWidth="1"/>
    <col min="2" max="2" width="12.42578125" customWidth="1"/>
    <col min="3" max="4" width="10.28515625" customWidth="1"/>
    <col min="5" max="5" width="11.85546875" customWidth="1"/>
    <col min="13" max="13" width="10.28515625" customWidth="1"/>
    <col min="14" max="14" width="12.85546875" customWidth="1"/>
  </cols>
  <sheetData>
    <row r="1" spans="1:14">
      <c r="A1" s="2" t="s">
        <v>39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13"/>
      <c r="B2" s="38" t="s">
        <v>9</v>
      </c>
      <c r="C2" s="32" t="s">
        <v>14</v>
      </c>
      <c r="D2" s="38" t="s">
        <v>15</v>
      </c>
      <c r="E2" s="32" t="s">
        <v>16</v>
      </c>
      <c r="F2" s="38" t="s">
        <v>17</v>
      </c>
      <c r="G2" s="32" t="s">
        <v>18</v>
      </c>
      <c r="H2" s="38" t="s">
        <v>19</v>
      </c>
      <c r="I2" s="32" t="s">
        <v>4</v>
      </c>
      <c r="J2" s="38" t="s">
        <v>5</v>
      </c>
      <c r="K2" s="32" t="s">
        <v>6</v>
      </c>
      <c r="L2" s="38" t="s">
        <v>7</v>
      </c>
      <c r="M2" s="32" t="s">
        <v>8</v>
      </c>
      <c r="N2" s="32" t="s">
        <v>126</v>
      </c>
    </row>
    <row r="3" spans="1:14">
      <c r="A3" s="72" t="s">
        <v>254</v>
      </c>
      <c r="B3" s="56"/>
      <c r="C3" s="56"/>
      <c r="D3" s="73">
        <f>28564+116364</f>
        <v>144928</v>
      </c>
      <c r="E3" s="74"/>
      <c r="F3" s="74"/>
      <c r="G3" s="73"/>
      <c r="H3" s="74"/>
      <c r="I3" s="74"/>
      <c r="J3" s="77"/>
      <c r="K3" s="56"/>
      <c r="L3" s="56"/>
      <c r="M3" s="77"/>
      <c r="N3" s="9">
        <f t="shared" ref="N3:N35" si="0">SUM(B3:M3)</f>
        <v>144928</v>
      </c>
    </row>
    <row r="4" spans="1:14">
      <c r="A4" s="13" t="s">
        <v>255</v>
      </c>
      <c r="B4" s="74">
        <v>26788.799999999999</v>
      </c>
      <c r="C4" s="56"/>
      <c r="D4" s="74"/>
      <c r="E4" s="74"/>
      <c r="F4" s="74"/>
      <c r="G4" s="74"/>
      <c r="H4" s="74"/>
      <c r="I4" s="74"/>
      <c r="J4" s="56"/>
      <c r="K4" s="56"/>
      <c r="L4" s="56"/>
      <c r="M4" s="56"/>
      <c r="N4" s="9">
        <f t="shared" si="0"/>
        <v>26788.799999999999</v>
      </c>
    </row>
    <row r="5" spans="1:14">
      <c r="A5" s="13" t="s">
        <v>256</v>
      </c>
      <c r="B5" s="74">
        <v>5976</v>
      </c>
      <c r="C5" s="56">
        <v>9096</v>
      </c>
      <c r="D5" s="74">
        <v>20895</v>
      </c>
      <c r="E5" s="74"/>
      <c r="F5" s="74"/>
      <c r="G5" s="74">
        <v>6468</v>
      </c>
      <c r="H5" s="74"/>
      <c r="I5" s="74"/>
      <c r="J5" s="56"/>
      <c r="K5" s="56"/>
      <c r="L5" s="56"/>
      <c r="M5" s="56"/>
      <c r="N5" s="9">
        <f t="shared" si="0"/>
        <v>42435</v>
      </c>
    </row>
    <row r="6" spans="1:14">
      <c r="A6" s="8" t="s">
        <v>257</v>
      </c>
      <c r="B6" s="9"/>
      <c r="C6" s="9">
        <v>1234</v>
      </c>
      <c r="D6" s="9"/>
      <c r="E6" s="9"/>
      <c r="F6" s="9"/>
      <c r="G6" s="9"/>
      <c r="H6" s="9"/>
      <c r="I6" s="9"/>
      <c r="J6" s="9"/>
      <c r="K6" s="9"/>
      <c r="L6" s="9"/>
      <c r="M6" s="9"/>
      <c r="N6" s="9">
        <f t="shared" si="0"/>
        <v>1234</v>
      </c>
    </row>
    <row r="7" spans="1:14" ht="15" customHeight="1">
      <c r="A7" s="13" t="s">
        <v>258</v>
      </c>
      <c r="B7" s="75"/>
      <c r="C7" s="9"/>
      <c r="D7" s="75">
        <v>1150</v>
      </c>
      <c r="E7" s="75"/>
      <c r="F7" s="75"/>
      <c r="G7" s="75"/>
      <c r="H7" s="75"/>
      <c r="I7" s="75"/>
      <c r="J7" s="9"/>
      <c r="K7" s="9"/>
      <c r="L7" s="9"/>
      <c r="M7" s="9"/>
      <c r="N7" s="9">
        <f t="shared" si="0"/>
        <v>1150</v>
      </c>
    </row>
    <row r="8" spans="1:14" ht="15" customHeight="1">
      <c r="A8" s="17" t="s">
        <v>259</v>
      </c>
      <c r="B8" s="9"/>
      <c r="C8" s="9"/>
      <c r="D8" s="9">
        <v>1500</v>
      </c>
      <c r="E8" s="9"/>
      <c r="F8" s="9"/>
      <c r="G8" s="9"/>
      <c r="H8" s="9"/>
      <c r="I8" s="9"/>
      <c r="J8" s="9"/>
      <c r="K8" s="9"/>
      <c r="L8" s="9"/>
      <c r="M8" s="9"/>
      <c r="N8" s="9">
        <f t="shared" si="0"/>
        <v>1500</v>
      </c>
    </row>
    <row r="9" spans="1:14" ht="15" customHeight="1">
      <c r="A9" s="17" t="s">
        <v>260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f t="shared" si="0"/>
        <v>0</v>
      </c>
    </row>
    <row r="10" spans="1:14" ht="15" customHeight="1">
      <c r="A10" s="17" t="s">
        <v>261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2040</v>
      </c>
    </row>
    <row r="11" spans="1:14" ht="15" customHeight="1">
      <c r="A11" s="4" t="s">
        <v>262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v>3780</v>
      </c>
    </row>
    <row r="12" spans="1:14" ht="15" customHeight="1">
      <c r="A12" s="4" t="s">
        <v>263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570</v>
      </c>
    </row>
    <row r="13" spans="1:14" ht="15" customHeight="1">
      <c r="A13" s="12" t="s">
        <v>264</v>
      </c>
      <c r="B13" s="9"/>
      <c r="C13" s="9"/>
      <c r="D13" s="9"/>
      <c r="E13" s="9"/>
      <c r="F13" s="9">
        <v>6000</v>
      </c>
      <c r="G13" s="9"/>
      <c r="H13" s="9"/>
      <c r="I13" s="9"/>
      <c r="J13" s="9"/>
      <c r="K13" s="9"/>
      <c r="L13" s="9"/>
      <c r="M13" s="9"/>
      <c r="N13" s="9">
        <f t="shared" si="0"/>
        <v>6000</v>
      </c>
    </row>
    <row r="14" spans="1:14" ht="15" customHeight="1">
      <c r="A14" s="13" t="s">
        <v>265</v>
      </c>
      <c r="B14" s="9"/>
      <c r="C14" s="9"/>
      <c r="D14" s="9"/>
      <c r="E14" s="9"/>
      <c r="F14" s="9">
        <v>2517</v>
      </c>
      <c r="G14" s="9"/>
      <c r="H14" s="9"/>
      <c r="I14" s="9"/>
      <c r="J14" s="9"/>
      <c r="K14" s="9"/>
      <c r="L14" s="9"/>
      <c r="M14" s="9"/>
      <c r="N14" s="9">
        <f t="shared" si="0"/>
        <v>2517</v>
      </c>
    </row>
    <row r="15" spans="1:14" ht="15" customHeight="1">
      <c r="A15" s="13" t="s">
        <v>266</v>
      </c>
      <c r="B15" s="9"/>
      <c r="C15" s="9"/>
      <c r="D15" s="9"/>
      <c r="E15" s="9"/>
      <c r="F15" s="9">
        <v>1650</v>
      </c>
      <c r="G15" s="9"/>
      <c r="H15" s="9"/>
      <c r="I15" s="9"/>
      <c r="J15" s="9"/>
      <c r="K15" s="9"/>
      <c r="L15" s="9"/>
      <c r="M15" s="9"/>
      <c r="N15" s="9">
        <f t="shared" si="0"/>
        <v>1650</v>
      </c>
    </row>
    <row r="16" spans="1:14" ht="15" customHeight="1">
      <c r="A16" s="13" t="s">
        <v>267</v>
      </c>
      <c r="B16" s="9"/>
      <c r="C16" s="9"/>
      <c r="D16" s="9"/>
      <c r="E16" s="9">
        <v>200</v>
      </c>
      <c r="F16" s="9"/>
      <c r="G16" s="9">
        <v>520</v>
      </c>
      <c r="H16" s="9"/>
      <c r="I16" s="9"/>
      <c r="J16" s="9"/>
      <c r="K16" s="9"/>
      <c r="L16" s="9"/>
      <c r="M16" s="9"/>
      <c r="N16" s="9">
        <f t="shared" si="0"/>
        <v>720</v>
      </c>
    </row>
    <row r="17" spans="1:14" ht="15" customHeight="1">
      <c r="A17" s="13" t="s">
        <v>268</v>
      </c>
      <c r="B17" s="9"/>
      <c r="C17" s="9"/>
      <c r="D17" s="9"/>
      <c r="E17" s="9">
        <v>3424</v>
      </c>
      <c r="F17" s="9"/>
      <c r="G17" s="9"/>
      <c r="H17" s="9"/>
      <c r="I17" s="9"/>
      <c r="J17" s="9"/>
      <c r="K17" s="9"/>
      <c r="L17" s="9"/>
      <c r="M17" s="9"/>
      <c r="N17" s="9">
        <f t="shared" si="0"/>
        <v>3424</v>
      </c>
    </row>
    <row r="18" spans="1:14" ht="15" customHeight="1">
      <c r="A18" s="13" t="s">
        <v>269</v>
      </c>
      <c r="B18" s="9"/>
      <c r="C18" s="9"/>
      <c r="D18" s="9"/>
      <c r="E18" s="9">
        <v>4012</v>
      </c>
      <c r="F18" s="9"/>
      <c r="G18" s="9"/>
      <c r="H18" s="9"/>
      <c r="I18" s="9"/>
      <c r="J18" s="9"/>
      <c r="K18" s="9"/>
      <c r="L18" s="9"/>
      <c r="M18" s="9"/>
      <c r="N18" s="9">
        <f t="shared" si="0"/>
        <v>4012</v>
      </c>
    </row>
    <row r="19" spans="1:14" ht="15" customHeight="1">
      <c r="A19" s="13" t="s">
        <v>270</v>
      </c>
      <c r="B19" s="9"/>
      <c r="C19" s="9"/>
      <c r="D19" s="9"/>
      <c r="E19" s="9">
        <v>2405</v>
      </c>
      <c r="F19" s="9"/>
      <c r="G19" s="9"/>
      <c r="H19" s="9"/>
      <c r="I19" s="9"/>
      <c r="J19" s="9"/>
      <c r="K19" s="9"/>
      <c r="L19" s="9"/>
      <c r="M19" s="9"/>
      <c r="N19" s="9">
        <f t="shared" si="0"/>
        <v>2405</v>
      </c>
    </row>
    <row r="20" spans="1:14" ht="15" customHeight="1">
      <c r="A20" s="13" t="s">
        <v>271</v>
      </c>
      <c r="B20" s="9"/>
      <c r="C20" s="9"/>
      <c r="D20" s="9"/>
      <c r="E20" s="9">
        <v>2680</v>
      </c>
      <c r="F20" s="9"/>
      <c r="G20" s="9"/>
      <c r="H20" s="9"/>
      <c r="I20" s="9"/>
      <c r="J20" s="9"/>
      <c r="K20" s="9"/>
      <c r="L20" s="9"/>
      <c r="M20" s="9"/>
      <c r="N20" s="9">
        <f t="shared" si="0"/>
        <v>2680</v>
      </c>
    </row>
    <row r="21" spans="1:14" ht="15" customHeight="1">
      <c r="A21" s="13" t="s">
        <v>272</v>
      </c>
      <c r="B21" s="9"/>
      <c r="C21" s="9"/>
      <c r="D21" s="9"/>
      <c r="E21" s="9"/>
      <c r="F21" s="9"/>
      <c r="G21" s="9">
        <v>400</v>
      </c>
      <c r="H21" s="9"/>
      <c r="I21" s="9"/>
      <c r="J21" s="9"/>
      <c r="K21" s="9"/>
      <c r="L21" s="9"/>
      <c r="M21" s="9"/>
      <c r="N21" s="9">
        <f t="shared" si="0"/>
        <v>400</v>
      </c>
    </row>
    <row r="22" spans="1:14" ht="15" customHeight="1">
      <c r="A22" s="13" t="s">
        <v>273</v>
      </c>
      <c r="B22" s="9"/>
      <c r="C22" s="9"/>
      <c r="D22" s="9"/>
      <c r="E22" s="9"/>
      <c r="F22" s="9"/>
      <c r="G22" s="9">
        <v>560</v>
      </c>
      <c r="H22" s="9"/>
      <c r="I22" s="9">
        <v>350</v>
      </c>
      <c r="J22" s="9"/>
      <c r="K22" s="9"/>
      <c r="L22" s="9"/>
      <c r="M22" s="9"/>
      <c r="N22" s="9">
        <f t="shared" si="0"/>
        <v>910</v>
      </c>
    </row>
    <row r="23" spans="1:14" ht="15" customHeight="1">
      <c r="A23" s="13" t="s">
        <v>274</v>
      </c>
      <c r="B23" s="9"/>
      <c r="C23" s="9"/>
      <c r="D23" s="9"/>
      <c r="E23" s="9"/>
      <c r="F23" s="9"/>
      <c r="G23" s="9">
        <v>2400</v>
      </c>
      <c r="H23" s="9"/>
      <c r="I23" s="9"/>
      <c r="J23" s="9"/>
      <c r="K23" s="9"/>
      <c r="L23" s="9"/>
      <c r="M23" s="9"/>
      <c r="N23" s="9">
        <f t="shared" si="0"/>
        <v>2400</v>
      </c>
    </row>
    <row r="24" spans="1:14" ht="15" customHeight="1">
      <c r="A24" s="13" t="s">
        <v>275</v>
      </c>
      <c r="B24" s="9"/>
      <c r="C24" s="9"/>
      <c r="D24" s="9"/>
      <c r="E24" s="9"/>
      <c r="F24" s="9"/>
      <c r="G24" s="9"/>
      <c r="H24" s="9"/>
      <c r="I24" s="9">
        <v>2808</v>
      </c>
      <c r="J24" s="9"/>
      <c r="K24" s="9"/>
      <c r="L24" s="9"/>
      <c r="M24" s="9"/>
      <c r="N24" s="9">
        <f t="shared" si="0"/>
        <v>2808</v>
      </c>
    </row>
    <row r="25" spans="1:14" ht="15" customHeight="1">
      <c r="A25" s="76" t="s">
        <v>276</v>
      </c>
      <c r="B25" s="9"/>
      <c r="C25" s="9"/>
      <c r="D25" s="9"/>
      <c r="E25" s="9"/>
      <c r="F25" s="9"/>
      <c r="G25" s="9"/>
      <c r="H25" s="9"/>
      <c r="I25" s="9">
        <v>920</v>
      </c>
      <c r="J25" s="9"/>
      <c r="K25" s="9"/>
      <c r="L25" s="9"/>
      <c r="M25" s="9"/>
      <c r="N25" s="9">
        <f t="shared" si="0"/>
        <v>920</v>
      </c>
    </row>
    <row r="26" spans="1:14" ht="15" customHeight="1">
      <c r="A26" s="13" t="s">
        <v>277</v>
      </c>
      <c r="B26" s="9"/>
      <c r="C26" s="9"/>
      <c r="D26" s="9"/>
      <c r="E26" s="9"/>
      <c r="F26" s="9"/>
      <c r="G26" s="9"/>
      <c r="H26" s="9"/>
      <c r="I26" s="9">
        <v>2800</v>
      </c>
      <c r="J26" s="9"/>
      <c r="K26" s="9"/>
      <c r="L26" s="9"/>
      <c r="M26" s="9"/>
      <c r="N26" s="9">
        <f t="shared" si="0"/>
        <v>2800</v>
      </c>
    </row>
    <row r="27" spans="1:14" ht="15" customHeight="1">
      <c r="A27" s="13" t="s">
        <v>278</v>
      </c>
      <c r="B27" s="9"/>
      <c r="C27" s="9"/>
      <c r="D27" s="9"/>
      <c r="E27" s="9"/>
      <c r="F27" s="9"/>
      <c r="G27" s="9"/>
      <c r="H27" s="9"/>
      <c r="I27" s="9">
        <v>670</v>
      </c>
      <c r="J27" s="9"/>
      <c r="K27" s="9"/>
      <c r="L27" s="9"/>
      <c r="M27" s="9"/>
      <c r="N27" s="9">
        <f t="shared" si="0"/>
        <v>670</v>
      </c>
    </row>
    <row r="28" spans="1:14" ht="15" customHeight="1">
      <c r="A28" s="13" t="s">
        <v>279</v>
      </c>
      <c r="B28" s="9"/>
      <c r="C28" s="9"/>
      <c r="D28" s="9"/>
      <c r="E28" s="9"/>
      <c r="F28" s="9"/>
      <c r="G28" s="9"/>
      <c r="H28" s="9"/>
      <c r="I28" s="9">
        <v>760</v>
      </c>
      <c r="J28" s="9"/>
      <c r="K28" s="9"/>
      <c r="L28" s="9"/>
      <c r="M28" s="9"/>
      <c r="N28" s="9">
        <f t="shared" ref="N28:N29" si="1">SUM(B28:M28)</f>
        <v>760</v>
      </c>
    </row>
    <row r="29" spans="1:14" ht="15" customHeight="1">
      <c r="A29" s="13" t="s">
        <v>280</v>
      </c>
      <c r="B29" s="9"/>
      <c r="C29" s="9"/>
      <c r="D29" s="9"/>
      <c r="E29" s="9"/>
      <c r="F29" s="9"/>
      <c r="G29" s="9"/>
      <c r="H29" s="9"/>
      <c r="I29" s="9">
        <v>320</v>
      </c>
      <c r="J29" s="9"/>
      <c r="K29" s="9"/>
      <c r="L29" s="9"/>
      <c r="M29" s="9"/>
      <c r="N29" s="9">
        <f t="shared" si="1"/>
        <v>320</v>
      </c>
    </row>
    <row r="30" spans="1:14" ht="15" customHeight="1">
      <c r="A30" s="13" t="s">
        <v>281</v>
      </c>
      <c r="B30" s="9"/>
      <c r="C30" s="9"/>
      <c r="D30" s="9"/>
      <c r="E30" s="9"/>
      <c r="F30" s="9"/>
      <c r="G30" s="9"/>
      <c r="H30" s="9"/>
      <c r="I30" s="9">
        <v>60</v>
      </c>
      <c r="J30" s="9"/>
      <c r="K30" s="9"/>
      <c r="L30" s="9"/>
      <c r="M30" s="9"/>
      <c r="N30" s="9"/>
    </row>
    <row r="31" spans="1:14" ht="15" customHeight="1">
      <c r="A31" s="13" t="s">
        <v>282</v>
      </c>
      <c r="B31" s="9"/>
      <c r="C31" s="9"/>
      <c r="D31" s="9"/>
      <c r="E31" s="9"/>
      <c r="F31" s="9"/>
      <c r="G31" s="9"/>
      <c r="H31" s="9"/>
      <c r="I31" s="9">
        <v>40</v>
      </c>
      <c r="J31" s="9"/>
      <c r="K31" s="9"/>
      <c r="L31" s="9"/>
      <c r="M31" s="9"/>
      <c r="N31" s="9"/>
    </row>
    <row r="32" spans="1:14" ht="15" customHeight="1">
      <c r="A32" s="13" t="s">
        <v>283</v>
      </c>
      <c r="B32" s="9"/>
      <c r="C32" s="9"/>
      <c r="D32" s="9"/>
      <c r="E32" s="9"/>
      <c r="F32" s="9"/>
      <c r="G32" s="9"/>
      <c r="H32" s="9"/>
      <c r="I32" s="9">
        <v>580</v>
      </c>
      <c r="J32" s="9"/>
      <c r="K32" s="9"/>
      <c r="L32" s="9"/>
      <c r="M32" s="9"/>
      <c r="N32" s="9">
        <f t="shared" si="0"/>
        <v>580</v>
      </c>
    </row>
    <row r="33" spans="1:14" ht="15" customHeight="1">
      <c r="A33" s="13" t="s">
        <v>284</v>
      </c>
      <c r="B33" s="9"/>
      <c r="C33" s="9"/>
      <c r="D33" s="9"/>
      <c r="E33" s="9"/>
      <c r="F33" s="9"/>
      <c r="G33" s="9"/>
      <c r="H33" s="9"/>
      <c r="I33" s="9">
        <v>192</v>
      </c>
      <c r="J33" s="9"/>
      <c r="K33" s="9"/>
      <c r="L33" s="9"/>
      <c r="M33" s="9"/>
      <c r="N33" s="9"/>
    </row>
    <row r="34" spans="1:14" ht="15" customHeight="1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" customHeight="1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ht="15" customHeight="1">
      <c r="A36" s="2" t="s">
        <v>126</v>
      </c>
      <c r="B36" s="45">
        <f t="shared" ref="B36:N36" si="2">SUM(B3:B35)</f>
        <v>32764.799999999999</v>
      </c>
      <c r="C36" s="45">
        <f t="shared" si="2"/>
        <v>10330</v>
      </c>
      <c r="D36" s="45">
        <f t="shared" si="2"/>
        <v>168473</v>
      </c>
      <c r="E36" s="45">
        <f t="shared" si="2"/>
        <v>12721</v>
      </c>
      <c r="F36" s="45">
        <f t="shared" si="2"/>
        <v>10167</v>
      </c>
      <c r="G36" s="45">
        <f t="shared" si="2"/>
        <v>10348</v>
      </c>
      <c r="H36" s="45">
        <f t="shared" si="2"/>
        <v>0</v>
      </c>
      <c r="I36" s="45">
        <f t="shared" si="2"/>
        <v>9500</v>
      </c>
      <c r="J36" s="45">
        <f t="shared" si="2"/>
        <v>0</v>
      </c>
      <c r="K36" s="45">
        <f t="shared" si="2"/>
        <v>0</v>
      </c>
      <c r="L36" s="45">
        <f t="shared" si="2"/>
        <v>0</v>
      </c>
      <c r="M36" s="45">
        <f t="shared" si="2"/>
        <v>0</v>
      </c>
      <c r="N36" s="45">
        <f t="shared" si="2"/>
        <v>260401.8</v>
      </c>
    </row>
    <row r="37" spans="1:14" ht="15" customHeight="1"/>
    <row r="38" spans="1:14">
      <c r="N38" s="24">
        <f>SUM(B36:M36)-N36</f>
        <v>-6098</v>
      </c>
    </row>
  </sheetData>
  <pageMargins left="0.25" right="0.25" top="0.75" bottom="0.75" header="0.3" footer="0.3"/>
  <pageSetup paperSize="9" scale="85" firstPageNumber="429496729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5"/>
  <sheetViews>
    <sheetView topLeftCell="A31" workbookViewId="0">
      <selection activeCell="A31" sqref="A31:XFD31"/>
    </sheetView>
  </sheetViews>
  <sheetFormatPr defaultColWidth="9.140625" defaultRowHeight="14.25"/>
  <cols>
    <col min="1" max="1" width="38.7109375" style="1" customWidth="1"/>
    <col min="2" max="2" width="11.7109375" style="58" customWidth="1"/>
    <col min="3" max="3" width="10.42578125" style="1" customWidth="1"/>
    <col min="4" max="4" width="10.28515625" style="1" customWidth="1"/>
    <col min="5" max="5" width="10.42578125" style="1" customWidth="1"/>
    <col min="6" max="6" width="10.28515625" style="1" customWidth="1"/>
    <col min="7" max="7" width="12.28515625" style="1" customWidth="1"/>
    <col min="8" max="8" width="10.42578125" style="1" customWidth="1"/>
    <col min="9" max="9" width="11.5703125" style="1" customWidth="1"/>
    <col min="10" max="11" width="10.42578125" style="1" customWidth="1"/>
    <col min="12" max="13" width="9.28515625" style="1" customWidth="1"/>
    <col min="14" max="14" width="12" style="1" customWidth="1"/>
    <col min="15" max="16384" width="9.140625" style="1"/>
  </cols>
  <sheetData>
    <row r="1" spans="1:14">
      <c r="A1" s="59" t="s">
        <v>285</v>
      </c>
      <c r="B1" s="60" t="str">
        <f>'ВСЕ затраты'!B1</f>
        <v>2024-2025гг.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>
      <c r="A2" s="62"/>
      <c r="B2" s="63" t="s">
        <v>9</v>
      </c>
      <c r="C2" s="64" t="s">
        <v>14</v>
      </c>
      <c r="D2" s="63" t="s">
        <v>15</v>
      </c>
      <c r="E2" s="64" t="s">
        <v>16</v>
      </c>
      <c r="F2" s="63" t="s">
        <v>17</v>
      </c>
      <c r="G2" s="64" t="s">
        <v>18</v>
      </c>
      <c r="H2" s="63" t="s">
        <v>19</v>
      </c>
      <c r="I2" s="64" t="s">
        <v>4</v>
      </c>
      <c r="J2" s="63" t="s">
        <v>5</v>
      </c>
      <c r="K2" s="64" t="s">
        <v>6</v>
      </c>
      <c r="L2" s="63" t="s">
        <v>7</v>
      </c>
      <c r="M2" s="64" t="s">
        <v>8</v>
      </c>
      <c r="N2" s="64" t="s">
        <v>126</v>
      </c>
    </row>
    <row r="3" spans="1:14">
      <c r="A3" s="10" t="s">
        <v>286</v>
      </c>
      <c r="B3" s="11">
        <v>28300</v>
      </c>
      <c r="C3" s="11"/>
      <c r="D3" s="11">
        <v>28300</v>
      </c>
      <c r="E3" s="11"/>
      <c r="F3" s="11"/>
      <c r="G3" s="11">
        <v>28300</v>
      </c>
      <c r="H3" s="11">
        <v>37000</v>
      </c>
      <c r="I3" s="11" t="s">
        <v>287</v>
      </c>
      <c r="J3" s="11"/>
      <c r="K3" s="11"/>
      <c r="L3" s="11"/>
      <c r="M3" s="11"/>
      <c r="N3" s="11">
        <f t="shared" ref="N3:N30" si="0">SUM(B3:M3)</f>
        <v>121900</v>
      </c>
    </row>
    <row r="4" spans="1:14">
      <c r="A4" s="65" t="s">
        <v>288</v>
      </c>
      <c r="B4" s="66"/>
      <c r="C4" s="67"/>
      <c r="D4" s="66"/>
      <c r="E4" s="66">
        <v>880</v>
      </c>
      <c r="F4" s="66"/>
      <c r="G4" s="66"/>
      <c r="H4" s="66"/>
      <c r="I4" s="66">
        <v>890</v>
      </c>
      <c r="J4" s="66"/>
      <c r="K4" s="66"/>
      <c r="L4" s="66"/>
      <c r="M4" s="11"/>
      <c r="N4" s="11">
        <f t="shared" si="0"/>
        <v>1770</v>
      </c>
    </row>
    <row r="5" spans="1:14">
      <c r="A5" s="10" t="s">
        <v>289</v>
      </c>
      <c r="B5" s="11">
        <f>16000+16000+16000</f>
        <v>48000</v>
      </c>
      <c r="C5" s="11"/>
      <c r="D5" s="11"/>
      <c r="E5" s="11">
        <v>16000</v>
      </c>
      <c r="F5" s="11">
        <v>49325</v>
      </c>
      <c r="G5" s="11">
        <v>86000</v>
      </c>
      <c r="H5" s="11">
        <v>15225</v>
      </c>
      <c r="I5" s="11">
        <v>38000</v>
      </c>
      <c r="J5" s="11"/>
      <c r="K5" s="11"/>
      <c r="L5" s="11"/>
      <c r="M5" s="11"/>
      <c r="N5" s="11">
        <f t="shared" si="0"/>
        <v>252550</v>
      </c>
    </row>
    <row r="6" spans="1:14">
      <c r="A6" s="10" t="s">
        <v>290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 t="shared" si="0"/>
        <v>0</v>
      </c>
    </row>
    <row r="7" spans="1:14">
      <c r="A7" s="10" t="s">
        <v>291</v>
      </c>
      <c r="B7" s="11">
        <v>15000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15000</v>
      </c>
    </row>
    <row r="8" spans="1:14">
      <c r="A8" s="10" t="s">
        <v>292</v>
      </c>
      <c r="B8" s="11">
        <v>3300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0"/>
        <v>3300</v>
      </c>
    </row>
    <row r="9" spans="1:14">
      <c r="A9" s="10" t="s">
        <v>293</v>
      </c>
      <c r="B9" s="11">
        <f>1990+750+600</f>
        <v>3340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si="0"/>
        <v>3340</v>
      </c>
    </row>
    <row r="10" spans="1:14">
      <c r="A10" s="10" t="s">
        <v>272</v>
      </c>
      <c r="B10" s="11">
        <v>1200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1200</v>
      </c>
    </row>
    <row r="11" spans="1:14">
      <c r="A11" s="10" t="s">
        <v>294</v>
      </c>
      <c r="B11" s="11">
        <v>640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640</v>
      </c>
    </row>
    <row r="12" spans="1:14">
      <c r="A12" s="68" t="s">
        <v>295</v>
      </c>
      <c r="B12" s="11"/>
      <c r="C12" s="69">
        <v>-76357.38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-76357.38</v>
      </c>
    </row>
    <row r="13" spans="1:14">
      <c r="A13" s="10" t="s">
        <v>296</v>
      </c>
      <c r="B13" s="11"/>
      <c r="C13" s="11">
        <v>4000</v>
      </c>
      <c r="D13" s="11"/>
      <c r="E13" s="11"/>
      <c r="F13" s="11"/>
      <c r="G13" s="11"/>
      <c r="H13" s="11"/>
      <c r="I13" s="11">
        <v>6000</v>
      </c>
      <c r="J13" s="11"/>
      <c r="K13" s="11"/>
      <c r="L13" s="11"/>
      <c r="M13" s="11"/>
      <c r="N13" s="11">
        <f t="shared" si="0"/>
        <v>10000</v>
      </c>
    </row>
    <row r="14" spans="1:14">
      <c r="A14" s="10" t="s">
        <v>166</v>
      </c>
      <c r="B14" s="11"/>
      <c r="C14" s="11">
        <v>780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780</v>
      </c>
    </row>
    <row r="15" spans="1:14">
      <c r="A15" s="10" t="s">
        <v>297</v>
      </c>
      <c r="B15" s="11"/>
      <c r="C15" s="11"/>
      <c r="D15" s="11">
        <v>29406</v>
      </c>
      <c r="E15" s="11"/>
      <c r="F15" s="11"/>
      <c r="G15" s="11"/>
      <c r="H15" s="11"/>
      <c r="I15" s="11"/>
      <c r="J15" s="11"/>
      <c r="K15" s="11"/>
      <c r="L15" s="11"/>
      <c r="M15" s="11"/>
      <c r="N15" s="11">
        <f t="shared" si="0"/>
        <v>29406</v>
      </c>
    </row>
    <row r="16" spans="1:14">
      <c r="A16" s="10" t="s">
        <v>298</v>
      </c>
      <c r="B16" s="11"/>
      <c r="C16" s="11"/>
      <c r="D16" s="11">
        <v>38500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38500</v>
      </c>
    </row>
    <row r="17" spans="1:14">
      <c r="A17" s="10" t="s">
        <v>299</v>
      </c>
      <c r="B17" s="11"/>
      <c r="C17" s="11"/>
      <c r="D17" s="11">
        <v>705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>
        <f t="shared" si="0"/>
        <v>765</v>
      </c>
    </row>
    <row r="18" spans="1:14">
      <c r="A18" s="10" t="s">
        <v>300</v>
      </c>
      <c r="B18" s="11"/>
      <c r="C18" s="11"/>
      <c r="D18" s="11">
        <v>3670</v>
      </c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3670</v>
      </c>
    </row>
    <row r="19" spans="1:14">
      <c r="A19" s="10" t="s">
        <v>301</v>
      </c>
      <c r="B19" s="11"/>
      <c r="C19" s="11"/>
      <c r="D19" s="11"/>
      <c r="E19" s="11"/>
      <c r="F19" s="11">
        <v>12000</v>
      </c>
      <c r="G19" s="11"/>
      <c r="H19" s="11"/>
      <c r="I19" s="11"/>
      <c r="J19" s="11"/>
      <c r="K19" s="11"/>
      <c r="L19" s="11"/>
      <c r="M19" s="11"/>
      <c r="N19" s="11">
        <f t="shared" si="0"/>
        <v>12000</v>
      </c>
    </row>
    <row r="20" spans="1:14">
      <c r="A20" s="10" t="s">
        <v>302</v>
      </c>
      <c r="B20" s="11"/>
      <c r="C20" s="11"/>
      <c r="D20" s="11"/>
      <c r="E20" s="11"/>
      <c r="F20" s="11">
        <v>6</v>
      </c>
      <c r="G20" s="11"/>
      <c r="H20" s="11"/>
      <c r="I20" s="11"/>
      <c r="J20" s="11"/>
      <c r="K20" s="11"/>
      <c r="L20" s="11"/>
      <c r="M20" s="11"/>
      <c r="N20" s="11">
        <f t="shared" si="0"/>
        <v>6</v>
      </c>
    </row>
    <row r="21" spans="1:14">
      <c r="A21" s="10" t="s">
        <v>303</v>
      </c>
      <c r="B21" s="11"/>
      <c r="C21" s="11"/>
      <c r="D21" s="11"/>
      <c r="E21" s="11"/>
      <c r="F21" s="11">
        <v>1970</v>
      </c>
      <c r="G21" s="11"/>
      <c r="H21" s="11"/>
      <c r="I21" s="11"/>
      <c r="J21" s="11"/>
      <c r="K21" s="11"/>
      <c r="L21" s="11"/>
      <c r="M21" s="11"/>
      <c r="N21" s="11">
        <f t="shared" si="0"/>
        <v>1970</v>
      </c>
    </row>
    <row r="22" spans="1:14">
      <c r="A22" s="10" t="s">
        <v>304</v>
      </c>
      <c r="B22" s="11"/>
      <c r="C22" s="11"/>
      <c r="D22" s="11"/>
      <c r="E22" s="11"/>
      <c r="F22" s="11">
        <v>1496</v>
      </c>
      <c r="G22" s="11"/>
      <c r="H22" s="11"/>
      <c r="I22" s="11"/>
      <c r="J22" s="11"/>
      <c r="K22" s="11"/>
      <c r="L22" s="11"/>
      <c r="M22" s="11"/>
      <c r="N22" s="11">
        <f t="shared" si="0"/>
        <v>1496</v>
      </c>
    </row>
    <row r="23" spans="1:14">
      <c r="A23" s="10" t="s">
        <v>305</v>
      </c>
      <c r="B23" s="11"/>
      <c r="C23" s="11"/>
      <c r="D23" s="11"/>
      <c r="E23" s="11">
        <v>220</v>
      </c>
      <c r="F23" s="11"/>
      <c r="G23" s="11"/>
      <c r="H23" s="11"/>
      <c r="I23" s="11"/>
      <c r="J23" s="11"/>
      <c r="K23" s="11"/>
      <c r="L23" s="11"/>
      <c r="M23" s="11"/>
      <c r="N23" s="11">
        <f t="shared" si="0"/>
        <v>220</v>
      </c>
    </row>
    <row r="24" spans="1:14">
      <c r="A24" s="10" t="s">
        <v>263</v>
      </c>
      <c r="B24" s="11"/>
      <c r="C24" s="11"/>
      <c r="D24" s="11"/>
      <c r="E24" s="11">
        <v>80</v>
      </c>
      <c r="F24" s="11"/>
      <c r="G24" s="11"/>
      <c r="H24" s="11"/>
      <c r="I24" s="11"/>
      <c r="J24" s="11"/>
      <c r="K24" s="11"/>
      <c r="L24" s="11"/>
      <c r="M24" s="11"/>
      <c r="N24" s="11">
        <f t="shared" si="0"/>
        <v>80</v>
      </c>
    </row>
    <row r="25" spans="1:14">
      <c r="A25" s="10" t="s">
        <v>306</v>
      </c>
      <c r="B25" s="11"/>
      <c r="C25" s="11"/>
      <c r="D25" s="11"/>
      <c r="E25" s="11">
        <v>640</v>
      </c>
      <c r="F25" s="11"/>
      <c r="G25" s="11"/>
      <c r="H25" s="11"/>
      <c r="I25" s="11"/>
      <c r="J25" s="11"/>
      <c r="K25" s="11"/>
      <c r="L25" s="11"/>
      <c r="M25" s="11"/>
      <c r="N25" s="11">
        <f t="shared" si="0"/>
        <v>640</v>
      </c>
    </row>
    <row r="26" spans="1:14">
      <c r="A26" s="10" t="s">
        <v>307</v>
      </c>
      <c r="B26" s="11"/>
      <c r="C26" s="11"/>
      <c r="D26" s="11"/>
      <c r="E26" s="11">
        <v>900</v>
      </c>
      <c r="F26" s="11"/>
      <c r="G26" s="11"/>
      <c r="H26" s="11"/>
      <c r="I26" s="11"/>
      <c r="J26" s="11"/>
      <c r="K26" s="11"/>
      <c r="L26" s="11"/>
      <c r="M26" s="11"/>
      <c r="N26" s="11">
        <f t="shared" si="0"/>
        <v>900</v>
      </c>
    </row>
    <row r="27" spans="1:14">
      <c r="A27" s="10" t="s">
        <v>308</v>
      </c>
      <c r="B27" s="11"/>
      <c r="C27" s="11"/>
      <c r="D27" s="11"/>
      <c r="E27" s="11">
        <v>480</v>
      </c>
      <c r="F27" s="11"/>
      <c r="G27" s="11"/>
      <c r="H27" s="11"/>
      <c r="I27" s="11"/>
      <c r="J27" s="11"/>
      <c r="K27" s="11"/>
      <c r="L27" s="11"/>
      <c r="M27" s="11"/>
      <c r="N27" s="11">
        <f t="shared" si="0"/>
        <v>480</v>
      </c>
    </row>
    <row r="28" spans="1:14">
      <c r="A28" s="10" t="s">
        <v>309</v>
      </c>
      <c r="B28" s="11"/>
      <c r="C28" s="11"/>
      <c r="D28" s="11"/>
      <c r="E28" s="11"/>
      <c r="F28" s="11"/>
      <c r="G28" s="11">
        <v>498</v>
      </c>
      <c r="H28" s="11"/>
      <c r="I28" s="11"/>
      <c r="J28" s="11"/>
      <c r="K28" s="11"/>
      <c r="L28" s="11"/>
      <c r="M28" s="11"/>
      <c r="N28" s="11">
        <f t="shared" si="0"/>
        <v>498</v>
      </c>
    </row>
    <row r="29" spans="1:14">
      <c r="A29" s="10" t="s">
        <v>310</v>
      </c>
      <c r="B29" s="11"/>
      <c r="C29" s="11"/>
      <c r="D29" s="11"/>
      <c r="E29" s="11"/>
      <c r="F29" s="11"/>
      <c r="G29" s="11">
        <v>989</v>
      </c>
      <c r="H29" s="11"/>
      <c r="I29" s="11"/>
      <c r="J29" s="11"/>
      <c r="K29" s="11"/>
      <c r="L29" s="11"/>
      <c r="M29" s="11"/>
      <c r="N29" s="11">
        <f t="shared" si="0"/>
        <v>989</v>
      </c>
    </row>
    <row r="30" spans="1:14">
      <c r="A30" s="10" t="s">
        <v>311</v>
      </c>
      <c r="B30" s="11"/>
      <c r="C30" s="11"/>
      <c r="D30" s="11"/>
      <c r="E30" s="11"/>
      <c r="F30" s="11"/>
      <c r="G30" s="11">
        <v>368</v>
      </c>
      <c r="H30" s="11"/>
      <c r="I30" s="11"/>
      <c r="J30" s="11"/>
      <c r="K30" s="11"/>
      <c r="L30" s="11"/>
      <c r="M30" s="11"/>
      <c r="N30" s="11">
        <f t="shared" si="0"/>
        <v>368</v>
      </c>
    </row>
    <row r="31" spans="1:14">
      <c r="A31" s="10" t="s">
        <v>312</v>
      </c>
      <c r="B31" s="11"/>
      <c r="C31" s="11"/>
      <c r="D31" s="11"/>
      <c r="E31" s="11"/>
      <c r="F31" s="11"/>
      <c r="G31" s="11"/>
      <c r="H31" s="11"/>
      <c r="I31" s="11">
        <v>401</v>
      </c>
      <c r="J31" s="11"/>
      <c r="K31" s="11"/>
      <c r="L31" s="11"/>
      <c r="M31" s="11"/>
      <c r="N31" s="11">
        <f t="shared" ref="N31:N62" si="1">SUM(B31:M31)</f>
        <v>401</v>
      </c>
    </row>
    <row r="32" spans="1:14">
      <c r="A32" s="10" t="s">
        <v>313</v>
      </c>
      <c r="B32" s="11"/>
      <c r="C32" s="11"/>
      <c r="D32" s="11"/>
      <c r="E32" s="11"/>
      <c r="F32" s="11"/>
      <c r="G32" s="11"/>
      <c r="H32" s="11"/>
      <c r="I32" s="11">
        <v>2600</v>
      </c>
      <c r="J32" s="11"/>
      <c r="K32" s="11"/>
      <c r="L32" s="11"/>
      <c r="M32" s="11"/>
      <c r="N32" s="11">
        <f t="shared" si="1"/>
        <v>2600</v>
      </c>
    </row>
    <row r="33" spans="1:14">
      <c r="A33" s="10" t="s">
        <v>314</v>
      </c>
      <c r="B33" s="11"/>
      <c r="C33" s="11"/>
      <c r="D33" s="11"/>
      <c r="E33" s="11"/>
      <c r="F33" s="11"/>
      <c r="G33" s="11"/>
      <c r="H33" s="11"/>
      <c r="I33" s="11">
        <v>30</v>
      </c>
      <c r="J33" s="11"/>
      <c r="K33" s="11"/>
      <c r="L33" s="11"/>
      <c r="M33" s="11"/>
      <c r="N33" s="11">
        <f t="shared" si="1"/>
        <v>30</v>
      </c>
    </row>
    <row r="34" spans="1:14">
      <c r="A34" s="10" t="s">
        <v>265</v>
      </c>
      <c r="B34" s="11"/>
      <c r="C34" s="11"/>
      <c r="D34" s="11"/>
      <c r="E34" s="11"/>
      <c r="F34" s="11"/>
      <c r="G34" s="11"/>
      <c r="H34" s="11"/>
      <c r="I34" s="11">
        <v>66</v>
      </c>
      <c r="J34" s="11"/>
      <c r="K34" s="11"/>
      <c r="L34" s="11"/>
      <c r="M34" s="11"/>
      <c r="N34" s="11">
        <f t="shared" si="1"/>
        <v>66</v>
      </c>
    </row>
    <row r="35" spans="1:14">
      <c r="A35" s="10" t="s">
        <v>315</v>
      </c>
      <c r="B35" s="11"/>
      <c r="C35" s="11"/>
      <c r="D35" s="11"/>
      <c r="E35" s="11"/>
      <c r="F35" s="11"/>
      <c r="G35" s="11"/>
      <c r="H35" s="11"/>
      <c r="I35" s="11">
        <v>84</v>
      </c>
      <c r="J35" s="11"/>
      <c r="K35" s="11"/>
      <c r="L35" s="11"/>
      <c r="M35" s="11"/>
      <c r="N35" s="11">
        <f t="shared" si="1"/>
        <v>84</v>
      </c>
    </row>
    <row r="36" spans="1:14">
      <c r="A36" s="10" t="s">
        <v>316</v>
      </c>
      <c r="B36" s="11"/>
      <c r="C36" s="11"/>
      <c r="D36" s="11"/>
      <c r="E36" s="11"/>
      <c r="F36" s="11"/>
      <c r="G36" s="11"/>
      <c r="H36" s="11"/>
      <c r="I36" s="11">
        <v>108</v>
      </c>
      <c r="J36" s="11"/>
      <c r="K36" s="11"/>
      <c r="L36" s="11"/>
      <c r="M36" s="11"/>
      <c r="N36" s="11">
        <f t="shared" si="1"/>
        <v>108</v>
      </c>
    </row>
    <row r="37" spans="1:14">
      <c r="A37" s="10" t="s">
        <v>317</v>
      </c>
      <c r="B37" s="11"/>
      <c r="C37" s="11"/>
      <c r="D37" s="11"/>
      <c r="E37" s="11"/>
      <c r="F37" s="11"/>
      <c r="G37" s="11"/>
      <c r="H37" s="11"/>
      <c r="I37" s="11">
        <v>52</v>
      </c>
      <c r="J37" s="11"/>
      <c r="K37" s="11"/>
      <c r="L37" s="11"/>
      <c r="M37" s="11"/>
      <c r="N37" s="11">
        <f t="shared" si="1"/>
        <v>52</v>
      </c>
    </row>
    <row r="38" spans="1:14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1"/>
        <v>0</v>
      </c>
    </row>
    <row r="39" spans="1:14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1"/>
        <v>0</v>
      </c>
    </row>
    <row r="40" spans="1:14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>
        <f t="shared" si="1"/>
        <v>0</v>
      </c>
    </row>
    <row r="41" spans="1:14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1"/>
        <v>0</v>
      </c>
    </row>
    <row r="42" spans="1:14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1"/>
        <v>0</v>
      </c>
    </row>
    <row r="43" spans="1:14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>
        <f t="shared" si="1"/>
        <v>0</v>
      </c>
    </row>
    <row r="44" spans="1:14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>
        <f t="shared" si="1"/>
        <v>0</v>
      </c>
    </row>
    <row r="45" spans="1:14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>
        <f t="shared" si="1"/>
        <v>0</v>
      </c>
    </row>
    <row r="46" spans="1:14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1"/>
        <v>0</v>
      </c>
    </row>
    <row r="47" spans="1:14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>
        <f t="shared" si="1"/>
        <v>0</v>
      </c>
    </row>
    <row r="48" spans="1:14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>
        <f t="shared" si="1"/>
        <v>0</v>
      </c>
    </row>
    <row r="49" spans="1:14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>
        <f t="shared" si="1"/>
        <v>0</v>
      </c>
    </row>
    <row r="50" spans="1:14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>
        <f t="shared" si="1"/>
        <v>0</v>
      </c>
    </row>
    <row r="51" spans="1:14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>
        <f t="shared" si="1"/>
        <v>0</v>
      </c>
    </row>
    <row r="52" spans="1:14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>
        <f t="shared" si="1"/>
        <v>0</v>
      </c>
    </row>
    <row r="53" spans="1:1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>
        <f t="shared" si="1"/>
        <v>0</v>
      </c>
    </row>
    <row r="54" spans="1:14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>
        <f t="shared" si="1"/>
        <v>0</v>
      </c>
    </row>
    <row r="55" spans="1:14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1"/>
        <v>0</v>
      </c>
    </row>
    <row r="56" spans="1:14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1"/>
        <v>0</v>
      </c>
    </row>
    <row r="57" spans="1:14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1"/>
        <v>0</v>
      </c>
    </row>
    <row r="58" spans="1:14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>
        <f t="shared" si="1"/>
        <v>0</v>
      </c>
    </row>
    <row r="59" spans="1:14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 t="shared" si="1"/>
        <v>0</v>
      </c>
    </row>
    <row r="60" spans="1:14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si="1"/>
        <v>0</v>
      </c>
    </row>
    <row r="61" spans="1:1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>
        <f t="shared" si="1"/>
        <v>0</v>
      </c>
    </row>
    <row r="62" spans="1:14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>
        <f t="shared" si="1"/>
        <v>0</v>
      </c>
    </row>
    <row r="63" spans="1:14">
      <c r="A63" s="59" t="s">
        <v>126</v>
      </c>
      <c r="B63" s="70">
        <f>SUM(B3:B62)</f>
        <v>99780</v>
      </c>
      <c r="C63" s="70">
        <f t="shared" ref="C63:N63" si="2">SUM(C3:C62)</f>
        <v>-71577.38</v>
      </c>
      <c r="D63" s="70">
        <f t="shared" si="2"/>
        <v>100581</v>
      </c>
      <c r="E63" s="70">
        <f t="shared" si="2"/>
        <v>19260</v>
      </c>
      <c r="F63" s="70">
        <f t="shared" si="2"/>
        <v>64797</v>
      </c>
      <c r="G63" s="70">
        <f t="shared" si="2"/>
        <v>116155</v>
      </c>
      <c r="H63" s="70">
        <f t="shared" si="2"/>
        <v>52225</v>
      </c>
      <c r="I63" s="70">
        <f t="shared" si="2"/>
        <v>48231</v>
      </c>
      <c r="J63" s="70">
        <f t="shared" si="2"/>
        <v>0</v>
      </c>
      <c r="K63" s="70">
        <f t="shared" si="2"/>
        <v>0</v>
      </c>
      <c r="L63" s="70">
        <f t="shared" si="2"/>
        <v>0</v>
      </c>
      <c r="M63" s="70">
        <f t="shared" si="2"/>
        <v>0</v>
      </c>
      <c r="N63" s="70">
        <f t="shared" si="2"/>
        <v>429451.62</v>
      </c>
    </row>
    <row r="65" spans="14:14">
      <c r="N65" s="71">
        <f>SUM(B63:M63)-N63</f>
        <v>0</v>
      </c>
    </row>
  </sheetData>
  <pageMargins left="0.25" right="0.25" top="0.75" bottom="0.75" header="0.3" footer="0.3"/>
  <pageSetup paperSize="9" scale="87" firstPageNumber="4294967295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workbookViewId="0">
      <selection activeCell="I16" sqref="I16"/>
    </sheetView>
  </sheetViews>
  <sheetFormatPr defaultColWidth="9" defaultRowHeight="15"/>
  <cols>
    <col min="1" max="1" width="33.140625" customWidth="1"/>
    <col min="2" max="6" width="12.85546875" customWidth="1"/>
    <col min="7" max="7" width="13.140625" customWidth="1"/>
    <col min="8" max="9" width="12.85546875" customWidth="1"/>
    <col min="10" max="10" width="11.85546875" customWidth="1"/>
    <col min="11" max="13" width="12.85546875" customWidth="1"/>
    <col min="14" max="14" width="14.5703125" style="47" customWidth="1"/>
  </cols>
  <sheetData>
    <row r="1" spans="1:14">
      <c r="A1" s="2" t="s">
        <v>318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5"/>
    </row>
    <row r="2" spans="1:14">
      <c r="A2" s="5"/>
      <c r="B2" s="48" t="s">
        <v>9</v>
      </c>
      <c r="C2" s="7" t="s">
        <v>14</v>
      </c>
      <c r="D2" s="48" t="s">
        <v>15</v>
      </c>
      <c r="E2" s="7" t="s">
        <v>16</v>
      </c>
      <c r="F2" s="48" t="s">
        <v>17</v>
      </c>
      <c r="G2" s="7" t="s">
        <v>18</v>
      </c>
      <c r="H2" s="48" t="s">
        <v>19</v>
      </c>
      <c r="I2" s="7" t="s">
        <v>4</v>
      </c>
      <c r="J2" s="48" t="s">
        <v>5</v>
      </c>
      <c r="K2" s="7" t="s">
        <v>6</v>
      </c>
      <c r="L2" s="48" t="s">
        <v>7</v>
      </c>
      <c r="M2" s="7" t="s">
        <v>8</v>
      </c>
      <c r="N2" s="56"/>
    </row>
    <row r="3" spans="1:14">
      <c r="A3" s="49" t="s">
        <v>318</v>
      </c>
      <c r="B3" s="50">
        <v>194952.64</v>
      </c>
      <c r="C3" s="50">
        <v>266694.18</v>
      </c>
      <c r="D3" s="50">
        <v>273142.46000000002</v>
      </c>
      <c r="E3" s="50">
        <v>293320</v>
      </c>
      <c r="F3" s="50">
        <v>288492</v>
      </c>
      <c r="G3" s="50">
        <v>226023</v>
      </c>
      <c r="H3" s="50">
        <v>192643</v>
      </c>
      <c r="I3" s="50">
        <v>157254</v>
      </c>
      <c r="J3" s="50"/>
      <c r="K3" s="50"/>
      <c r="L3" s="50"/>
      <c r="M3" s="50"/>
      <c r="N3" s="51">
        <f t="shared" ref="N3:N76" si="0">SUM(B3:M3)</f>
        <v>1892521.28</v>
      </c>
    </row>
    <row r="4" spans="1:14">
      <c r="A4" s="4" t="s">
        <v>319</v>
      </c>
      <c r="B4" s="51">
        <v>27063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7">
        <f t="shared" si="0"/>
        <v>27063</v>
      </c>
    </row>
    <row r="5" spans="1:14">
      <c r="A5" s="4" t="s">
        <v>320</v>
      </c>
      <c r="B5" s="51">
        <v>7019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7">
        <f t="shared" si="0"/>
        <v>7019</v>
      </c>
    </row>
    <row r="6" spans="1:14">
      <c r="A6" s="12" t="s">
        <v>321</v>
      </c>
      <c r="B6" s="51">
        <v>3732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7">
        <f t="shared" si="0"/>
        <v>3732</v>
      </c>
    </row>
    <row r="7" spans="1:14">
      <c r="A7" s="4" t="s">
        <v>322</v>
      </c>
      <c r="B7" s="51"/>
      <c r="C7" s="51">
        <v>918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7">
        <f t="shared" si="0"/>
        <v>918</v>
      </c>
    </row>
    <row r="8" spans="1:14">
      <c r="A8" s="4" t="s">
        <v>323</v>
      </c>
      <c r="B8" s="51"/>
      <c r="C8" s="51">
        <v>6179</v>
      </c>
      <c r="D8" s="51">
        <f>4920+1062</f>
        <v>5982</v>
      </c>
      <c r="E8" s="51"/>
      <c r="F8" s="51"/>
      <c r="G8" s="51">
        <v>10040</v>
      </c>
      <c r="H8" s="51"/>
      <c r="I8" s="51"/>
      <c r="J8" s="51"/>
      <c r="K8" s="51"/>
      <c r="L8" s="51"/>
      <c r="M8" s="51"/>
      <c r="N8" s="57">
        <f t="shared" si="0"/>
        <v>22201</v>
      </c>
    </row>
    <row r="9" spans="1:14">
      <c r="A9" s="4" t="s">
        <v>324</v>
      </c>
      <c r="B9" s="51"/>
      <c r="C9" s="51">
        <v>3548</v>
      </c>
      <c r="D9" s="51"/>
      <c r="E9" s="51"/>
      <c r="F9" s="51"/>
      <c r="G9" s="51"/>
      <c r="H9" s="51"/>
      <c r="I9" s="51">
        <v>14839</v>
      </c>
      <c r="J9" s="51"/>
      <c r="K9" s="51"/>
      <c r="L9" s="51"/>
      <c r="M9" s="51"/>
      <c r="N9" s="57">
        <f t="shared" si="0"/>
        <v>18387</v>
      </c>
    </row>
    <row r="10" spans="1:14">
      <c r="A10" s="4" t="s">
        <v>325</v>
      </c>
      <c r="B10" s="51"/>
      <c r="C10" s="51">
        <v>2370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7">
        <f t="shared" si="0"/>
        <v>2370</v>
      </c>
    </row>
    <row r="11" spans="1:14">
      <c r="A11" s="4" t="s">
        <v>168</v>
      </c>
      <c r="B11" s="51"/>
      <c r="C11" s="51"/>
      <c r="D11" s="51">
        <v>500</v>
      </c>
      <c r="E11" s="51">
        <v>360</v>
      </c>
      <c r="F11" s="51">
        <v>300</v>
      </c>
      <c r="G11" s="51"/>
      <c r="H11" s="51"/>
      <c r="I11" s="51"/>
      <c r="J11" s="51"/>
      <c r="K11" s="51"/>
      <c r="L11" s="51"/>
      <c r="M11" s="51"/>
      <c r="N11" s="57">
        <f t="shared" si="0"/>
        <v>1160</v>
      </c>
    </row>
    <row r="12" spans="1:14">
      <c r="A12" s="4" t="s">
        <v>326</v>
      </c>
      <c r="B12" s="51"/>
      <c r="C12" s="51"/>
      <c r="D12" s="51"/>
      <c r="E12" s="51"/>
      <c r="F12" s="51">
        <v>7201</v>
      </c>
      <c r="G12" s="51"/>
      <c r="H12" s="51"/>
      <c r="I12" s="51"/>
      <c r="J12" s="51"/>
      <c r="K12" s="51"/>
      <c r="L12" s="51"/>
      <c r="M12" s="51"/>
      <c r="N12" s="57">
        <f t="shared" si="0"/>
        <v>7201</v>
      </c>
    </row>
    <row r="13" spans="1:14">
      <c r="A13" s="4" t="s">
        <v>327</v>
      </c>
      <c r="B13" s="51"/>
      <c r="C13" s="51"/>
      <c r="D13" s="51"/>
      <c r="E13" s="51"/>
      <c r="F13" s="51">
        <v>440</v>
      </c>
      <c r="G13" s="51"/>
      <c r="H13" s="51"/>
      <c r="I13" s="51"/>
      <c r="J13" s="51"/>
      <c r="K13" s="51"/>
      <c r="L13" s="51"/>
      <c r="M13" s="51"/>
      <c r="N13" s="57">
        <f t="shared" si="0"/>
        <v>440</v>
      </c>
    </row>
    <row r="14" spans="1:14">
      <c r="A14" s="4" t="s">
        <v>328</v>
      </c>
      <c r="B14" s="13"/>
      <c r="C14" s="13"/>
      <c r="D14" s="51"/>
      <c r="E14" s="13"/>
      <c r="F14" s="13">
        <v>270</v>
      </c>
      <c r="G14" s="13"/>
      <c r="H14" s="13"/>
      <c r="I14" s="13"/>
      <c r="J14" s="13"/>
      <c r="K14" s="13"/>
      <c r="L14" s="13"/>
      <c r="M14" s="13"/>
      <c r="N14" s="36">
        <f t="shared" si="0"/>
        <v>270</v>
      </c>
    </row>
    <row r="15" spans="1:14">
      <c r="A15" s="4" t="s">
        <v>329</v>
      </c>
      <c r="B15" s="13"/>
      <c r="C15" s="13"/>
      <c r="D15" s="51"/>
      <c r="E15" s="13"/>
      <c r="F15" s="13">
        <v>1450</v>
      </c>
      <c r="G15" s="13"/>
      <c r="H15" s="13"/>
      <c r="I15" s="13">
        <v>7565</v>
      </c>
      <c r="J15" s="13"/>
      <c r="K15" s="13"/>
      <c r="L15" s="13"/>
      <c r="M15" s="13"/>
      <c r="N15" s="36">
        <f t="shared" si="0"/>
        <v>9015</v>
      </c>
    </row>
    <row r="16" spans="1:14">
      <c r="A16" s="4" t="s">
        <v>330</v>
      </c>
      <c r="B16" s="13"/>
      <c r="C16" s="13"/>
      <c r="D16" s="51"/>
      <c r="E16" s="13"/>
      <c r="F16" s="13">
        <v>1000</v>
      </c>
      <c r="G16" s="13"/>
      <c r="H16" s="13"/>
      <c r="I16" s="13"/>
      <c r="J16" s="13"/>
      <c r="K16" s="13"/>
      <c r="L16" s="13"/>
      <c r="M16" s="13"/>
      <c r="N16" s="36">
        <f t="shared" si="0"/>
        <v>1000</v>
      </c>
    </row>
    <row r="17" spans="1:14">
      <c r="A17" s="52" t="s">
        <v>188</v>
      </c>
      <c r="B17" s="13"/>
      <c r="C17" s="13"/>
      <c r="D17" s="51"/>
      <c r="E17" s="13">
        <v>200</v>
      </c>
      <c r="F17" s="13"/>
      <c r="G17" s="13"/>
      <c r="H17" s="13"/>
      <c r="I17" s="13"/>
      <c r="J17" s="13"/>
      <c r="K17" s="13"/>
      <c r="L17" s="13"/>
      <c r="M17" s="13"/>
      <c r="N17" s="36">
        <f t="shared" si="0"/>
        <v>200</v>
      </c>
    </row>
    <row r="18" spans="1:14">
      <c r="A18" s="4" t="s">
        <v>331</v>
      </c>
      <c r="B18" s="13"/>
      <c r="C18" s="13"/>
      <c r="D18" s="51"/>
      <c r="E18" s="13">
        <v>6945</v>
      </c>
      <c r="F18" s="13"/>
      <c r="G18" s="13"/>
      <c r="H18" s="13">
        <v>3000</v>
      </c>
      <c r="I18" s="13">
        <v>8020</v>
      </c>
      <c r="J18" s="13"/>
      <c r="K18" s="13"/>
      <c r="L18" s="13"/>
      <c r="M18" s="13"/>
      <c r="N18" s="36">
        <f t="shared" si="0"/>
        <v>17965</v>
      </c>
    </row>
    <row r="19" spans="1:14">
      <c r="A19" s="4" t="s">
        <v>332</v>
      </c>
      <c r="B19" s="13"/>
      <c r="C19" s="13"/>
      <c r="D19" s="51"/>
      <c r="E19" s="13">
        <v>1600</v>
      </c>
      <c r="F19" s="13"/>
      <c r="G19" s="13"/>
      <c r="H19" s="13"/>
      <c r="I19" s="13"/>
      <c r="J19" s="13"/>
      <c r="K19" s="13"/>
      <c r="L19" s="13"/>
      <c r="M19" s="13"/>
      <c r="N19" s="36">
        <f t="shared" si="0"/>
        <v>1600</v>
      </c>
    </row>
    <row r="20" spans="1:14">
      <c r="A20" s="4" t="s">
        <v>333</v>
      </c>
      <c r="B20" s="13"/>
      <c r="C20" s="13"/>
      <c r="D20" s="13"/>
      <c r="E20" s="13"/>
      <c r="F20" s="13"/>
      <c r="G20" s="13"/>
      <c r="H20" s="13">
        <v>5530</v>
      </c>
      <c r="I20" s="13"/>
      <c r="J20" s="13"/>
      <c r="K20" s="13"/>
      <c r="L20" s="13"/>
      <c r="M20" s="13"/>
      <c r="N20" s="36">
        <f t="shared" si="0"/>
        <v>5530</v>
      </c>
    </row>
    <row r="21" spans="1:14">
      <c r="A21" s="4" t="s">
        <v>334</v>
      </c>
      <c r="B21" s="13"/>
      <c r="C21" s="13"/>
      <c r="D21" s="13"/>
      <c r="E21" s="13"/>
      <c r="F21" s="13"/>
      <c r="G21" s="13"/>
      <c r="H21" s="13"/>
      <c r="I21" s="13">
        <v>1740</v>
      </c>
      <c r="J21" s="13"/>
      <c r="K21" s="13"/>
      <c r="L21" s="13"/>
      <c r="M21" s="13"/>
      <c r="N21" s="36">
        <f t="shared" si="0"/>
        <v>1740</v>
      </c>
    </row>
    <row r="22" spans="1:14">
      <c r="A22" s="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6">
        <f t="shared" si="0"/>
        <v>0</v>
      </c>
    </row>
    <row r="23" spans="1:14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6">
        <f t="shared" si="0"/>
        <v>0</v>
      </c>
    </row>
    <row r="24" spans="1:14">
      <c r="A24" s="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36">
        <f t="shared" si="0"/>
        <v>0</v>
      </c>
    </row>
    <row r="25" spans="1:14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6">
        <f t="shared" si="0"/>
        <v>0</v>
      </c>
    </row>
    <row r="26" spans="1:14">
      <c r="A26" s="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6">
        <f t="shared" si="0"/>
        <v>0</v>
      </c>
    </row>
    <row r="27" spans="1:14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6">
        <f t="shared" si="0"/>
        <v>0</v>
      </c>
    </row>
    <row r="28" spans="1:14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36">
        <f t="shared" si="0"/>
        <v>0</v>
      </c>
    </row>
    <row r="29" spans="1:14">
      <c r="A29" s="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6">
        <f t="shared" si="0"/>
        <v>0</v>
      </c>
    </row>
    <row r="30" spans="1:14">
      <c r="A30" s="5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6">
        <f t="shared" si="0"/>
        <v>0</v>
      </c>
    </row>
    <row r="31" spans="1:14">
      <c r="A31" s="5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36">
        <f t="shared" si="0"/>
        <v>0</v>
      </c>
    </row>
    <row r="32" spans="1:14">
      <c r="A32" s="5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36">
        <f t="shared" si="0"/>
        <v>0</v>
      </c>
    </row>
    <row r="33" spans="1:14">
      <c r="A33" s="5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36">
        <f t="shared" si="0"/>
        <v>0</v>
      </c>
    </row>
    <row r="34" spans="1:14">
      <c r="A34" s="5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6">
        <f t="shared" si="0"/>
        <v>0</v>
      </c>
    </row>
    <row r="35" spans="1:14">
      <c r="A35" s="5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6">
        <f t="shared" si="0"/>
        <v>0</v>
      </c>
    </row>
    <row r="36" spans="1:14">
      <c r="A36" s="5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6">
        <f t="shared" si="0"/>
        <v>0</v>
      </c>
    </row>
    <row r="37" spans="1:14">
      <c r="A37" s="5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6">
        <f t="shared" si="0"/>
        <v>0</v>
      </c>
    </row>
    <row r="38" spans="1:14">
      <c r="A38" s="5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6">
        <f t="shared" si="0"/>
        <v>0</v>
      </c>
    </row>
    <row r="39" spans="1:14">
      <c r="A39" s="5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6">
        <f t="shared" si="0"/>
        <v>0</v>
      </c>
    </row>
    <row r="40" spans="1:14">
      <c r="A40" s="5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6">
        <f t="shared" si="0"/>
        <v>0</v>
      </c>
    </row>
    <row r="41" spans="1:14">
      <c r="A41" s="5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36">
        <f t="shared" si="0"/>
        <v>0</v>
      </c>
    </row>
    <row r="42" spans="1:14">
      <c r="A42" s="5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6">
        <f t="shared" si="0"/>
        <v>0</v>
      </c>
    </row>
    <row r="43" spans="1:14">
      <c r="A43" s="5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6">
        <f t="shared" si="0"/>
        <v>0</v>
      </c>
    </row>
    <row r="44" spans="1:14">
      <c r="A44" s="5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36">
        <f t="shared" si="0"/>
        <v>0</v>
      </c>
    </row>
    <row r="45" spans="1:14">
      <c r="A45" s="5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36">
        <f t="shared" si="0"/>
        <v>0</v>
      </c>
    </row>
    <row r="46" spans="1:14">
      <c r="A46" s="5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36">
        <f t="shared" si="0"/>
        <v>0</v>
      </c>
    </row>
    <row r="47" spans="1:14">
      <c r="A47" s="5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6">
        <f t="shared" si="0"/>
        <v>0</v>
      </c>
    </row>
    <row r="48" spans="1:14">
      <c r="A48" s="5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6">
        <f t="shared" si="0"/>
        <v>0</v>
      </c>
    </row>
    <row r="49" spans="1:14">
      <c r="A49" s="5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36">
        <f t="shared" si="0"/>
        <v>0</v>
      </c>
    </row>
    <row r="50" spans="1:14">
      <c r="A50" s="5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36">
        <f t="shared" si="0"/>
        <v>0</v>
      </c>
    </row>
    <row r="51" spans="1:14">
      <c r="A51" s="5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36">
        <f t="shared" si="0"/>
        <v>0</v>
      </c>
    </row>
    <row r="52" spans="1:14">
      <c r="A52" s="5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6">
        <f t="shared" si="0"/>
        <v>0</v>
      </c>
    </row>
    <row r="53" spans="1:14">
      <c r="A53" s="5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6">
        <f t="shared" si="0"/>
        <v>0</v>
      </c>
    </row>
    <row r="54" spans="1:14">
      <c r="A54" s="5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36">
        <f t="shared" si="0"/>
        <v>0</v>
      </c>
    </row>
    <row r="55" spans="1:14">
      <c r="A55" s="5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36">
        <f t="shared" si="0"/>
        <v>0</v>
      </c>
    </row>
    <row r="56" spans="1:14">
      <c r="A56" s="5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36">
        <f t="shared" si="0"/>
        <v>0</v>
      </c>
    </row>
    <row r="57" spans="1:14">
      <c r="A57" s="5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36">
        <f t="shared" si="0"/>
        <v>0</v>
      </c>
    </row>
    <row r="58" spans="1:14">
      <c r="A58" s="5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36">
        <f t="shared" si="0"/>
        <v>0</v>
      </c>
    </row>
    <row r="59" spans="1:14">
      <c r="A59" s="5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36">
        <f t="shared" si="0"/>
        <v>0</v>
      </c>
    </row>
    <row r="60" spans="1:14">
      <c r="A60" s="5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36">
        <f t="shared" si="0"/>
        <v>0</v>
      </c>
    </row>
    <row r="61" spans="1:14">
      <c r="A61" s="5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6">
        <f t="shared" si="0"/>
        <v>0</v>
      </c>
    </row>
    <row r="62" spans="1:14">
      <c r="A62" s="5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36">
        <f t="shared" si="0"/>
        <v>0</v>
      </c>
    </row>
    <row r="63" spans="1:14">
      <c r="A63" s="5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36">
        <f t="shared" si="0"/>
        <v>0</v>
      </c>
    </row>
    <row r="64" spans="1:14">
      <c r="A64" s="5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36">
        <f t="shared" si="0"/>
        <v>0</v>
      </c>
    </row>
    <row r="65" spans="1:14">
      <c r="A65" s="5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6">
        <f t="shared" si="0"/>
        <v>0</v>
      </c>
    </row>
    <row r="66" spans="1:14">
      <c r="A66" s="5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6">
        <f t="shared" ref="N66:N70" si="1">SUM(B66:M66)</f>
        <v>0</v>
      </c>
    </row>
    <row r="67" spans="1:14">
      <c r="A67" s="5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6">
        <f t="shared" si="1"/>
        <v>0</v>
      </c>
    </row>
    <row r="68" spans="1:14">
      <c r="A68" s="5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6">
        <f t="shared" si="1"/>
        <v>0</v>
      </c>
    </row>
    <row r="69" spans="1:14">
      <c r="A69" s="5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36">
        <f t="shared" si="1"/>
        <v>0</v>
      </c>
    </row>
    <row r="70" spans="1:14">
      <c r="A70" s="5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36">
        <f t="shared" si="1"/>
        <v>0</v>
      </c>
    </row>
    <row r="71" spans="1:14">
      <c r="A71" s="5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6">
        <f t="shared" si="0"/>
        <v>0</v>
      </c>
    </row>
    <row r="72" spans="1:14">
      <c r="A72" s="5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6">
        <f t="shared" si="0"/>
        <v>0</v>
      </c>
    </row>
    <row r="73" spans="1:14">
      <c r="A73" s="5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6">
        <f t="shared" si="0"/>
        <v>0</v>
      </c>
    </row>
    <row r="74" spans="1:14">
      <c r="A74" s="5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36">
        <f t="shared" si="0"/>
        <v>0</v>
      </c>
    </row>
    <row r="75" spans="1:14">
      <c r="A75" s="5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36">
        <f t="shared" si="0"/>
        <v>0</v>
      </c>
    </row>
    <row r="76" spans="1:14">
      <c r="A76" s="5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36">
        <f t="shared" si="0"/>
        <v>0</v>
      </c>
    </row>
    <row r="77" spans="1:14">
      <c r="A77" s="2" t="s">
        <v>126</v>
      </c>
      <c r="B77" s="21">
        <f>SUM(B3:B76)</f>
        <v>232766.64</v>
      </c>
      <c r="C77" s="21">
        <f>SUM(C3:C76)</f>
        <v>279709.18</v>
      </c>
      <c r="D77" s="21">
        <f t="shared" ref="D77:N77" si="2">SUM(D3:D76)</f>
        <v>279624.46000000002</v>
      </c>
      <c r="E77" s="21">
        <f t="shared" si="2"/>
        <v>302425</v>
      </c>
      <c r="F77" s="21">
        <f t="shared" si="2"/>
        <v>299153</v>
      </c>
      <c r="G77" s="21">
        <f t="shared" si="2"/>
        <v>236063</v>
      </c>
      <c r="H77" s="21">
        <f t="shared" si="2"/>
        <v>201173</v>
      </c>
      <c r="I77" s="21">
        <f t="shared" si="2"/>
        <v>189418</v>
      </c>
      <c r="J77" s="21">
        <f t="shared" si="2"/>
        <v>0</v>
      </c>
      <c r="K77" s="21">
        <f t="shared" si="2"/>
        <v>0</v>
      </c>
      <c r="L77" s="21">
        <f t="shared" si="2"/>
        <v>0</v>
      </c>
      <c r="M77" s="21">
        <f t="shared" si="2"/>
        <v>0</v>
      </c>
      <c r="N77" s="33">
        <f t="shared" si="2"/>
        <v>2020332.28</v>
      </c>
    </row>
    <row r="79" spans="1:14">
      <c r="N79" s="47">
        <f>SUM(B77:M77)-N77</f>
        <v>0</v>
      </c>
    </row>
  </sheetData>
  <pageMargins left="0.25" right="0.25" top="0.75" bottom="0.75" header="0.3" footer="0.3"/>
  <pageSetup paperSize="9" scale="67" firstPageNumber="4294967295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workbookViewId="0">
      <selection activeCell="I5" sqref="I5"/>
    </sheetView>
  </sheetViews>
  <sheetFormatPr defaultColWidth="9" defaultRowHeight="15"/>
  <cols>
    <col min="1" max="1" width="29.42578125" customWidth="1"/>
    <col min="2" max="2" width="11.7109375" customWidth="1"/>
    <col min="3" max="3" width="13.7109375" customWidth="1"/>
    <col min="5" max="5" width="16.140625" customWidth="1"/>
    <col min="6" max="6" width="10.28515625" customWidth="1"/>
    <col min="7" max="7" width="9.42578125" customWidth="1"/>
    <col min="14" max="14" width="12.85546875" customWidth="1"/>
  </cols>
  <sheetData>
    <row r="1" spans="1:14">
      <c r="A1" s="2" t="s">
        <v>335</v>
      </c>
      <c r="C1" s="2"/>
      <c r="D1" s="3" t="str">
        <f>'ВСЕ затраты'!B1</f>
        <v>2024-2025гг.</v>
      </c>
      <c r="E1" s="2"/>
      <c r="F1" s="2"/>
      <c r="G1" s="2"/>
      <c r="H1" s="2"/>
      <c r="I1" s="4"/>
      <c r="J1" s="4"/>
      <c r="K1" s="4"/>
      <c r="L1" s="4"/>
      <c r="M1" s="4"/>
      <c r="N1" s="5"/>
    </row>
    <row r="2" spans="1:14">
      <c r="A2" s="5"/>
      <c r="B2" s="38" t="s">
        <v>9</v>
      </c>
      <c r="C2" s="32" t="s">
        <v>14</v>
      </c>
      <c r="D2" s="38" t="s">
        <v>15</v>
      </c>
      <c r="E2" s="32" t="s">
        <v>16</v>
      </c>
      <c r="F2" s="38" t="s">
        <v>17</v>
      </c>
      <c r="G2" s="32" t="s">
        <v>18</v>
      </c>
      <c r="H2" s="38" t="s">
        <v>19</v>
      </c>
      <c r="I2" s="32" t="s">
        <v>4</v>
      </c>
      <c r="J2" s="38" t="s">
        <v>5</v>
      </c>
      <c r="K2" s="32" t="s">
        <v>6</v>
      </c>
      <c r="L2" s="38" t="s">
        <v>7</v>
      </c>
      <c r="M2" s="32" t="s">
        <v>8</v>
      </c>
      <c r="N2" s="32" t="s">
        <v>126</v>
      </c>
    </row>
    <row r="3" spans="1:14">
      <c r="A3" s="39" t="s">
        <v>336</v>
      </c>
      <c r="B3" s="40"/>
      <c r="C3" s="40">
        <f>13396+13496+13596</f>
        <v>40488</v>
      </c>
      <c r="D3" s="40"/>
      <c r="E3" s="40">
        <v>13696</v>
      </c>
      <c r="F3" s="40"/>
      <c r="G3" s="40">
        <v>13796</v>
      </c>
      <c r="H3" s="40"/>
      <c r="I3" s="40"/>
      <c r="J3" s="40"/>
      <c r="K3" s="40"/>
      <c r="L3" s="40"/>
      <c r="M3" s="40"/>
      <c r="N3" s="22">
        <f t="shared" ref="N3:N46" si="0">SUM(B3:M3)</f>
        <v>67980</v>
      </c>
    </row>
    <row r="4" spans="1:14">
      <c r="A4" s="4" t="s">
        <v>337</v>
      </c>
      <c r="B4" s="40"/>
      <c r="C4" s="40">
        <v>1089.5999999999999</v>
      </c>
      <c r="D4" s="40"/>
      <c r="E4" s="40"/>
      <c r="F4" s="40">
        <v>8306</v>
      </c>
      <c r="G4" s="40">
        <v>8472</v>
      </c>
      <c r="H4" s="40">
        <v>2274</v>
      </c>
      <c r="I4" s="40">
        <v>1140</v>
      </c>
      <c r="J4" s="40"/>
      <c r="K4" s="40"/>
      <c r="L4" s="40"/>
      <c r="M4" s="40"/>
      <c r="N4" s="22">
        <f t="shared" si="0"/>
        <v>21281.599999999999</v>
      </c>
    </row>
    <row r="5" spans="1:14">
      <c r="A5" s="4" t="s">
        <v>338</v>
      </c>
      <c r="B5" s="40">
        <f>2411.2+1205.6+2411.2</f>
        <v>6028</v>
      </c>
      <c r="C5" s="40">
        <f>2423.2+1817.4+1211.6+2431.2</f>
        <v>7883.4</v>
      </c>
      <c r="D5" s="40">
        <f>2431.2+2800.05</f>
        <v>5231.25</v>
      </c>
      <c r="E5" s="40">
        <v>9804</v>
      </c>
      <c r="F5" s="40">
        <v>6152</v>
      </c>
      <c r="G5" s="40">
        <v>4950</v>
      </c>
      <c r="H5" s="40">
        <v>14974</v>
      </c>
      <c r="I5" s="40">
        <v>4388</v>
      </c>
      <c r="J5" s="40"/>
      <c r="K5" s="40"/>
      <c r="L5" s="40"/>
      <c r="M5" s="40"/>
      <c r="N5" s="22">
        <f t="shared" si="0"/>
        <v>59410.65</v>
      </c>
    </row>
    <row r="6" spans="1:14">
      <c r="A6" s="4" t="s">
        <v>339</v>
      </c>
      <c r="B6" s="9">
        <v>810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22">
        <f t="shared" si="0"/>
        <v>810</v>
      </c>
    </row>
    <row r="7" spans="1:14">
      <c r="A7" s="41" t="s">
        <v>340</v>
      </c>
      <c r="B7" s="40">
        <f>18000+22400+420+110+1700+2000+700+950+1000+1000+250</f>
        <v>48530</v>
      </c>
      <c r="C7" s="42"/>
      <c r="D7" s="43"/>
      <c r="E7" s="43"/>
      <c r="F7" s="43"/>
      <c r="G7" s="43"/>
      <c r="H7" s="43"/>
      <c r="I7" s="43"/>
      <c r="J7" s="42"/>
      <c r="K7" s="42"/>
      <c r="L7" s="42"/>
      <c r="M7" s="42"/>
      <c r="N7" s="22">
        <f t="shared" si="0"/>
        <v>48530</v>
      </c>
    </row>
    <row r="8" spans="1:14">
      <c r="A8" s="4" t="s">
        <v>341</v>
      </c>
      <c r="B8" s="9"/>
      <c r="C8" s="9">
        <f>400+400+400</f>
        <v>1200</v>
      </c>
      <c r="D8" s="9"/>
      <c r="E8" s="9"/>
      <c r="F8" s="9"/>
      <c r="G8" s="9"/>
      <c r="H8" s="9"/>
      <c r="I8" s="9"/>
      <c r="J8" s="9"/>
      <c r="K8" s="9"/>
      <c r="L8" s="9"/>
      <c r="M8" s="9"/>
      <c r="N8" s="22">
        <f t="shared" si="0"/>
        <v>1200</v>
      </c>
    </row>
    <row r="9" spans="1:14">
      <c r="A9" s="12" t="s">
        <v>342</v>
      </c>
      <c r="B9" s="9"/>
      <c r="C9" s="9">
        <f>9760+16900</f>
        <v>26660</v>
      </c>
      <c r="D9" s="9"/>
      <c r="E9" s="9"/>
      <c r="F9" s="9"/>
      <c r="G9" s="9"/>
      <c r="H9" s="9"/>
      <c r="I9" s="9"/>
      <c r="J9" s="9"/>
      <c r="K9" s="9"/>
      <c r="L9" s="9"/>
      <c r="M9" s="9"/>
      <c r="N9" s="22">
        <f t="shared" si="0"/>
        <v>26660</v>
      </c>
    </row>
    <row r="10" spans="1:14">
      <c r="A10" s="12" t="s">
        <v>343</v>
      </c>
      <c r="B10" s="9"/>
      <c r="C10" s="9">
        <v>150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22">
        <f t="shared" si="0"/>
        <v>150</v>
      </c>
    </row>
    <row r="11" spans="1:14">
      <c r="A11" s="12" t="s">
        <v>344</v>
      </c>
      <c r="B11" s="9"/>
      <c r="C11" s="9">
        <v>884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22">
        <f t="shared" si="0"/>
        <v>884</v>
      </c>
    </row>
    <row r="12" spans="1:14">
      <c r="A12" s="12" t="s">
        <v>345</v>
      </c>
      <c r="B12" s="9"/>
      <c r="C12" s="9">
        <v>2100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22">
        <f t="shared" si="0"/>
        <v>2100</v>
      </c>
    </row>
    <row r="13" spans="1:14">
      <c r="A13" s="12" t="s">
        <v>152</v>
      </c>
      <c r="B13" s="9"/>
      <c r="C13" s="9">
        <v>1690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22">
        <f t="shared" si="0"/>
        <v>1690</v>
      </c>
    </row>
    <row r="14" spans="1:14">
      <c r="A14" s="12" t="s">
        <v>346</v>
      </c>
      <c r="B14" s="9"/>
      <c r="C14" s="9">
        <v>1200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22">
        <f t="shared" si="0"/>
        <v>1200</v>
      </c>
    </row>
    <row r="15" spans="1:14">
      <c r="A15" s="12" t="s">
        <v>347</v>
      </c>
      <c r="B15" s="9"/>
      <c r="C15" s="9"/>
      <c r="D15" s="9">
        <v>2905.69</v>
      </c>
      <c r="E15" s="9"/>
      <c r="F15" s="9"/>
      <c r="G15" s="9">
        <v>6403</v>
      </c>
      <c r="H15" s="9"/>
      <c r="I15" s="9"/>
      <c r="J15" s="9"/>
      <c r="K15" s="9"/>
      <c r="L15" s="9"/>
      <c r="M15" s="9"/>
      <c r="N15" s="22">
        <f t="shared" si="0"/>
        <v>9308.69</v>
      </c>
    </row>
    <row r="16" spans="1:14">
      <c r="A16" s="44" t="s">
        <v>348</v>
      </c>
      <c r="B16" s="9"/>
      <c r="C16" s="9"/>
      <c r="D16" s="9">
        <v>3215</v>
      </c>
      <c r="E16" s="9"/>
      <c r="F16" s="9"/>
      <c r="G16" s="9"/>
      <c r="H16" s="9"/>
      <c r="I16" s="9"/>
      <c r="J16" s="9"/>
      <c r="K16" s="9"/>
      <c r="L16" s="9"/>
      <c r="M16" s="9"/>
      <c r="N16" s="22">
        <f t="shared" si="0"/>
        <v>3215</v>
      </c>
    </row>
    <row r="17" spans="1:14">
      <c r="A17" s="12" t="s">
        <v>349</v>
      </c>
      <c r="B17" s="9"/>
      <c r="C17" s="9"/>
      <c r="D17" s="9">
        <v>2010</v>
      </c>
      <c r="E17" s="9"/>
      <c r="F17" s="9"/>
      <c r="G17" s="9"/>
      <c r="H17" s="9"/>
      <c r="I17" s="9"/>
      <c r="J17" s="9"/>
      <c r="K17" s="9"/>
      <c r="L17" s="9"/>
      <c r="M17" s="9"/>
      <c r="N17" s="22">
        <f t="shared" si="0"/>
        <v>2010</v>
      </c>
    </row>
    <row r="18" spans="1:14">
      <c r="A18" s="12" t="s">
        <v>350</v>
      </c>
      <c r="B18" s="9"/>
      <c r="C18" s="9"/>
      <c r="D18" s="9">
        <v>675</v>
      </c>
      <c r="E18" s="9"/>
      <c r="F18" s="9"/>
      <c r="G18" s="9"/>
      <c r="H18" s="9"/>
      <c r="I18" s="9"/>
      <c r="J18" s="9"/>
      <c r="K18" s="9"/>
      <c r="L18" s="9"/>
      <c r="M18" s="9"/>
      <c r="N18" s="22">
        <f t="shared" si="0"/>
        <v>675</v>
      </c>
    </row>
    <row r="19" spans="1:14">
      <c r="A19" s="12" t="s">
        <v>349</v>
      </c>
      <c r="B19" s="9"/>
      <c r="C19" s="9"/>
      <c r="D19" s="9">
        <v>670</v>
      </c>
      <c r="E19" s="9"/>
      <c r="F19" s="9"/>
      <c r="G19" s="9"/>
      <c r="H19" s="9"/>
      <c r="I19" s="9"/>
      <c r="J19" s="9"/>
      <c r="K19" s="9"/>
      <c r="L19" s="9"/>
      <c r="M19" s="9"/>
      <c r="N19" s="22">
        <f t="shared" si="0"/>
        <v>670</v>
      </c>
    </row>
    <row r="20" spans="1:14">
      <c r="A20" s="12" t="s">
        <v>351</v>
      </c>
      <c r="B20" s="9"/>
      <c r="C20" s="9"/>
      <c r="D20" s="9"/>
      <c r="E20" s="9"/>
      <c r="F20" s="9">
        <v>37650</v>
      </c>
      <c r="G20" s="9"/>
      <c r="H20" s="9"/>
      <c r="I20" s="9"/>
      <c r="J20" s="9"/>
      <c r="K20" s="9"/>
      <c r="L20" s="9"/>
      <c r="M20" s="9"/>
      <c r="N20" s="22">
        <f t="shared" si="0"/>
        <v>37650</v>
      </c>
    </row>
    <row r="21" spans="1:14">
      <c r="A21" s="12" t="s">
        <v>352</v>
      </c>
      <c r="B21" s="9"/>
      <c r="C21" s="9"/>
      <c r="D21" s="9"/>
      <c r="E21" s="9">
        <v>22000</v>
      </c>
      <c r="F21" s="9">
        <v>22000</v>
      </c>
      <c r="G21" s="9"/>
      <c r="H21" s="9"/>
      <c r="I21" s="9">
        <v>22000</v>
      </c>
      <c r="J21" s="9"/>
      <c r="K21" s="9"/>
      <c r="L21" s="9"/>
      <c r="M21" s="9"/>
      <c r="N21" s="22">
        <f t="shared" si="0"/>
        <v>66000</v>
      </c>
    </row>
    <row r="22" spans="1:14">
      <c r="A22" s="12" t="s">
        <v>353</v>
      </c>
      <c r="B22" s="9"/>
      <c r="C22" s="9"/>
      <c r="D22" s="9"/>
      <c r="E22" s="9"/>
      <c r="F22" s="9">
        <v>808</v>
      </c>
      <c r="G22" s="9"/>
      <c r="H22" s="9"/>
      <c r="I22" s="9"/>
      <c r="J22" s="9"/>
      <c r="K22" s="9"/>
      <c r="L22" s="9"/>
      <c r="M22" s="9"/>
      <c r="N22" s="22">
        <f t="shared" si="0"/>
        <v>808</v>
      </c>
    </row>
    <row r="23" spans="1:14">
      <c r="A23" s="12" t="s">
        <v>354</v>
      </c>
      <c r="B23" s="9"/>
      <c r="C23" s="9"/>
      <c r="D23" s="9"/>
      <c r="E23" s="9"/>
      <c r="F23" s="9">
        <v>600</v>
      </c>
      <c r="G23" s="9"/>
      <c r="H23" s="9"/>
      <c r="I23" s="9"/>
      <c r="J23" s="9"/>
      <c r="K23" s="9"/>
      <c r="L23" s="9"/>
      <c r="M23" s="9"/>
      <c r="N23" s="22">
        <f t="shared" si="0"/>
        <v>600</v>
      </c>
    </row>
    <row r="24" spans="1:14">
      <c r="A24" s="12" t="s">
        <v>355</v>
      </c>
      <c r="B24" s="9"/>
      <c r="C24" s="9"/>
      <c r="D24" s="9"/>
      <c r="E24" s="9"/>
      <c r="F24" s="9">
        <v>2828</v>
      </c>
      <c r="G24" s="9"/>
      <c r="H24" s="9"/>
      <c r="I24" s="9"/>
      <c r="J24" s="9"/>
      <c r="K24" s="9"/>
      <c r="L24" s="9"/>
      <c r="M24" s="9"/>
      <c r="N24" s="22">
        <f t="shared" si="0"/>
        <v>2828</v>
      </c>
    </row>
    <row r="25" spans="1:14">
      <c r="A25" s="12" t="s">
        <v>356</v>
      </c>
      <c r="B25" s="9"/>
      <c r="C25" s="9"/>
      <c r="D25" s="9"/>
      <c r="E25" s="9"/>
      <c r="F25" s="9">
        <v>400</v>
      </c>
      <c r="G25" s="9"/>
      <c r="H25" s="9"/>
      <c r="I25" s="9"/>
      <c r="J25" s="9"/>
      <c r="K25" s="9"/>
      <c r="L25" s="9"/>
      <c r="M25" s="9"/>
      <c r="N25" s="22">
        <f t="shared" si="0"/>
        <v>400</v>
      </c>
    </row>
    <row r="26" spans="1:14">
      <c r="A26" s="12" t="s">
        <v>276</v>
      </c>
      <c r="B26" s="9"/>
      <c r="C26" s="9"/>
      <c r="D26" s="9"/>
      <c r="E26" s="9"/>
      <c r="F26" s="9">
        <v>3600</v>
      </c>
      <c r="G26" s="9"/>
      <c r="H26" s="9"/>
      <c r="I26" s="9"/>
      <c r="J26" s="9"/>
      <c r="K26" s="9"/>
      <c r="L26" s="9"/>
      <c r="M26" s="9"/>
      <c r="N26" s="22">
        <f t="shared" si="0"/>
        <v>3600</v>
      </c>
    </row>
    <row r="27" spans="1:14">
      <c r="A27" s="12" t="s">
        <v>357</v>
      </c>
      <c r="B27" s="9"/>
      <c r="C27" s="9"/>
      <c r="D27" s="9"/>
      <c r="E27" s="9"/>
      <c r="F27" s="9">
        <v>520</v>
      </c>
      <c r="G27" s="9"/>
      <c r="H27" s="9"/>
      <c r="I27" s="9"/>
      <c r="J27" s="9"/>
      <c r="K27" s="9"/>
      <c r="L27" s="9"/>
      <c r="M27" s="9"/>
      <c r="N27" s="22">
        <f t="shared" si="0"/>
        <v>520</v>
      </c>
    </row>
    <row r="28" spans="1:14">
      <c r="A28" s="12" t="s">
        <v>358</v>
      </c>
      <c r="B28" s="9"/>
      <c r="C28" s="9"/>
      <c r="D28" s="9"/>
      <c r="E28" s="9">
        <v>5288</v>
      </c>
      <c r="F28" s="9"/>
      <c r="G28" s="9"/>
      <c r="H28" s="9"/>
      <c r="I28" s="9"/>
      <c r="J28" s="9"/>
      <c r="K28" s="9"/>
      <c r="L28" s="9"/>
      <c r="M28" s="9"/>
      <c r="N28" s="22">
        <f t="shared" si="0"/>
        <v>5288</v>
      </c>
    </row>
    <row r="29" spans="1:14">
      <c r="A29" s="12" t="s">
        <v>359</v>
      </c>
      <c r="B29" s="9"/>
      <c r="C29" s="9"/>
      <c r="D29" s="9"/>
      <c r="E29" s="9">
        <v>4400</v>
      </c>
      <c r="F29" s="9"/>
      <c r="G29" s="9"/>
      <c r="H29" s="9"/>
      <c r="I29" s="9"/>
      <c r="J29" s="9"/>
      <c r="K29" s="9"/>
      <c r="L29" s="9"/>
      <c r="M29" s="9"/>
      <c r="N29" s="22">
        <f t="shared" si="0"/>
        <v>4400</v>
      </c>
    </row>
    <row r="30" spans="1:14">
      <c r="A30" s="12" t="s">
        <v>360</v>
      </c>
      <c r="B30" s="9"/>
      <c r="C30" s="9"/>
      <c r="D30" s="9"/>
      <c r="E30" s="9">
        <v>1000</v>
      </c>
      <c r="F30" s="9"/>
      <c r="G30" s="9"/>
      <c r="H30" s="9"/>
      <c r="I30" s="9"/>
      <c r="J30" s="9"/>
      <c r="K30" s="9"/>
      <c r="L30" s="9"/>
      <c r="M30" s="9"/>
      <c r="N30" s="22">
        <f t="shared" si="0"/>
        <v>1000</v>
      </c>
    </row>
    <row r="31" spans="1:14">
      <c r="A31" s="12" t="s">
        <v>361</v>
      </c>
      <c r="B31" s="9"/>
      <c r="C31" s="9"/>
      <c r="D31" s="9"/>
      <c r="E31" s="9"/>
      <c r="F31" s="9"/>
      <c r="G31" s="9">
        <v>4431</v>
      </c>
      <c r="H31" s="9"/>
      <c r="I31" s="9"/>
      <c r="J31" s="9"/>
      <c r="K31" s="9"/>
      <c r="L31" s="9"/>
      <c r="M31" s="9"/>
      <c r="N31" s="22">
        <f t="shared" si="0"/>
        <v>4431</v>
      </c>
    </row>
    <row r="32" spans="1:14">
      <c r="A32" s="12" t="s">
        <v>362</v>
      </c>
      <c r="B32" s="9"/>
      <c r="C32" s="9"/>
      <c r="D32" s="9"/>
      <c r="E32" s="9"/>
      <c r="F32" s="9"/>
      <c r="G32" s="9">
        <v>4120</v>
      </c>
      <c r="H32" s="9"/>
      <c r="I32" s="9"/>
      <c r="J32" s="9"/>
      <c r="K32" s="9"/>
      <c r="L32" s="9"/>
      <c r="M32" s="9"/>
      <c r="N32" s="22">
        <f t="shared" si="0"/>
        <v>4120</v>
      </c>
    </row>
    <row r="33" spans="1:14">
      <c r="A33" s="12" t="s">
        <v>363</v>
      </c>
      <c r="B33" s="9"/>
      <c r="C33" s="9"/>
      <c r="D33" s="9"/>
      <c r="E33" s="9"/>
      <c r="F33" s="9"/>
      <c r="G33" s="9"/>
      <c r="H33" s="9">
        <v>300</v>
      </c>
      <c r="I33" s="9"/>
      <c r="J33" s="9"/>
      <c r="K33" s="9"/>
      <c r="L33" s="9"/>
      <c r="M33" s="9"/>
      <c r="N33" s="22">
        <f t="shared" si="0"/>
        <v>300</v>
      </c>
    </row>
    <row r="34" spans="1:14">
      <c r="A34" s="12" t="s">
        <v>364</v>
      </c>
      <c r="B34" s="9"/>
      <c r="C34" s="9"/>
      <c r="D34" s="9"/>
      <c r="E34" s="9"/>
      <c r="F34" s="9"/>
      <c r="G34" s="9"/>
      <c r="H34" s="9">
        <v>1000</v>
      </c>
      <c r="I34" s="9"/>
      <c r="J34" s="9"/>
      <c r="K34" s="9"/>
      <c r="L34" s="9"/>
      <c r="M34" s="9"/>
      <c r="N34" s="22">
        <f t="shared" si="0"/>
        <v>1000</v>
      </c>
    </row>
    <row r="35" spans="1:14">
      <c r="A35" s="12" t="s">
        <v>365</v>
      </c>
      <c r="B35" s="9"/>
      <c r="C35" s="9"/>
      <c r="D35" s="9"/>
      <c r="E35" s="9"/>
      <c r="F35" s="9"/>
      <c r="G35" s="9"/>
      <c r="H35" s="9">
        <v>600</v>
      </c>
      <c r="I35" s="9"/>
      <c r="J35" s="9"/>
      <c r="K35" s="9"/>
      <c r="L35" s="9"/>
      <c r="M35" s="9"/>
      <c r="N35" s="22">
        <f t="shared" si="0"/>
        <v>600</v>
      </c>
    </row>
    <row r="36" spans="1:14">
      <c r="A36" s="12" t="s">
        <v>366</v>
      </c>
      <c r="B36" s="9"/>
      <c r="C36" s="9"/>
      <c r="D36" s="9"/>
      <c r="E36" s="9"/>
      <c r="F36" s="9"/>
      <c r="G36" s="9"/>
      <c r="H36" s="9">
        <v>3750</v>
      </c>
      <c r="I36" s="9"/>
      <c r="J36" s="9"/>
      <c r="K36" s="9"/>
      <c r="L36" s="9"/>
      <c r="M36" s="9"/>
      <c r="N36" s="22">
        <f t="shared" si="0"/>
        <v>3750</v>
      </c>
    </row>
    <row r="37" spans="1:14">
      <c r="A37" s="12" t="s">
        <v>367</v>
      </c>
      <c r="B37" s="9"/>
      <c r="C37" s="9"/>
      <c r="D37" s="9"/>
      <c r="E37" s="9"/>
      <c r="F37" s="9"/>
      <c r="G37" s="9"/>
      <c r="H37" s="9">
        <v>1986</v>
      </c>
      <c r="I37" s="9"/>
      <c r="J37" s="9"/>
      <c r="K37" s="9"/>
      <c r="L37" s="9"/>
      <c r="M37" s="9"/>
      <c r="N37" s="22">
        <f t="shared" si="0"/>
        <v>1986</v>
      </c>
    </row>
    <row r="38" spans="1:14">
      <c r="A38" s="12" t="s">
        <v>368</v>
      </c>
      <c r="B38" s="9"/>
      <c r="C38" s="9"/>
      <c r="D38" s="9"/>
      <c r="E38" s="9"/>
      <c r="F38" s="9"/>
      <c r="G38" s="9"/>
      <c r="H38" s="9">
        <v>2805</v>
      </c>
      <c r="I38" s="9"/>
      <c r="J38" s="9"/>
      <c r="K38" s="9"/>
      <c r="L38" s="9"/>
      <c r="M38" s="9"/>
      <c r="N38" s="22">
        <f t="shared" si="0"/>
        <v>2805</v>
      </c>
    </row>
    <row r="39" spans="1:14">
      <c r="A39" s="12" t="s">
        <v>369</v>
      </c>
      <c r="B39" s="9"/>
      <c r="C39" s="9"/>
      <c r="D39" s="9"/>
      <c r="E39" s="9"/>
      <c r="F39" s="9"/>
      <c r="G39" s="9"/>
      <c r="H39" s="9"/>
      <c r="I39" s="9">
        <v>20000</v>
      </c>
      <c r="J39" s="9"/>
      <c r="K39" s="9"/>
      <c r="L39" s="9"/>
      <c r="M39" s="9"/>
      <c r="N39" s="22">
        <f t="shared" si="0"/>
        <v>20000</v>
      </c>
    </row>
    <row r="40" spans="1:14">
      <c r="A40" s="1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2">
        <f t="shared" ref="N40:N42" si="1">SUM(B40:M40)</f>
        <v>0</v>
      </c>
    </row>
    <row r="41" spans="1:14">
      <c r="A41" s="1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2">
        <f t="shared" si="1"/>
        <v>0</v>
      </c>
    </row>
    <row r="42" spans="1:14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2">
        <f t="shared" si="1"/>
        <v>0</v>
      </c>
    </row>
    <row r="43" spans="1:14">
      <c r="A43" s="1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2">
        <f t="shared" si="0"/>
        <v>0</v>
      </c>
    </row>
    <row r="44" spans="1:14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2">
        <f t="shared" si="0"/>
        <v>0</v>
      </c>
    </row>
    <row r="45" spans="1:14">
      <c r="A45" s="1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2">
        <f t="shared" si="0"/>
        <v>0</v>
      </c>
    </row>
    <row r="46" spans="1:14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2">
        <f t="shared" si="0"/>
        <v>0</v>
      </c>
    </row>
    <row r="47" spans="1:14">
      <c r="A47" s="2" t="s">
        <v>126</v>
      </c>
      <c r="B47" s="45">
        <f t="shared" ref="B47:N47" si="2">SUM(B3:B46)</f>
        <v>55368</v>
      </c>
      <c r="C47" s="45">
        <f t="shared" si="2"/>
        <v>83345</v>
      </c>
      <c r="D47" s="45">
        <f t="shared" si="2"/>
        <v>14706.94</v>
      </c>
      <c r="E47" s="45">
        <f t="shared" si="2"/>
        <v>56188</v>
      </c>
      <c r="F47" s="45">
        <f t="shared" si="2"/>
        <v>82864</v>
      </c>
      <c r="G47" s="45">
        <f t="shared" si="2"/>
        <v>42172</v>
      </c>
      <c r="H47" s="45">
        <f t="shared" si="2"/>
        <v>27689</v>
      </c>
      <c r="I47" s="45">
        <f t="shared" si="2"/>
        <v>47528</v>
      </c>
      <c r="J47" s="45">
        <f t="shared" si="2"/>
        <v>0</v>
      </c>
      <c r="K47" s="45">
        <f t="shared" si="2"/>
        <v>0</v>
      </c>
      <c r="L47" s="45">
        <f t="shared" si="2"/>
        <v>0</v>
      </c>
      <c r="M47" s="45">
        <f t="shared" si="2"/>
        <v>0</v>
      </c>
      <c r="N47" s="46">
        <f t="shared" si="2"/>
        <v>409860.94</v>
      </c>
    </row>
    <row r="49" spans="14:14">
      <c r="N49" s="24">
        <f>SUM(B47:M47)-N47</f>
        <v>0</v>
      </c>
    </row>
  </sheetData>
  <pageMargins left="0.25" right="0.25" top="0.75" bottom="0.75" header="0.3" footer="0.3"/>
  <pageSetup paperSize="9" scale="69" firstPageNumber="4294967295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37" workbookViewId="0">
      <selection activeCell="A30" sqref="A30:XFD30"/>
    </sheetView>
  </sheetViews>
  <sheetFormatPr defaultColWidth="9" defaultRowHeight="15"/>
  <cols>
    <col min="1" max="1" width="29.85546875" style="25" customWidth="1"/>
    <col min="2" max="2" width="11.5703125" style="26" customWidth="1"/>
    <col min="3" max="3" width="9.28515625" style="26" customWidth="1"/>
    <col min="4" max="4" width="8" style="26" customWidth="1"/>
    <col min="5" max="5" width="12.85546875" style="26" customWidth="1"/>
    <col min="6" max="6" width="10.85546875" style="26" customWidth="1"/>
    <col min="7" max="7" width="10.7109375" style="26" customWidth="1"/>
    <col min="8" max="8" width="9.28515625" style="26" customWidth="1"/>
    <col min="9" max="11" width="10.28515625" style="26" customWidth="1"/>
    <col min="12" max="13" width="9.28515625" style="26" customWidth="1"/>
    <col min="14" max="14" width="10.28515625" style="27" customWidth="1"/>
  </cols>
  <sheetData>
    <row r="1" spans="1:14">
      <c r="A1" s="28" t="s">
        <v>370</v>
      </c>
      <c r="B1" s="3" t="str">
        <f>'ВСЕ затраты'!B1</f>
        <v>2024-2025гг.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4"/>
    </row>
    <row r="2" spans="1:14">
      <c r="A2" s="30"/>
      <c r="B2" s="31" t="s">
        <v>9</v>
      </c>
      <c r="C2" s="32" t="s">
        <v>14</v>
      </c>
      <c r="D2" s="31" t="s">
        <v>15</v>
      </c>
      <c r="E2" s="32" t="s">
        <v>16</v>
      </c>
      <c r="F2" s="31" t="s">
        <v>17</v>
      </c>
      <c r="G2" s="32" t="s">
        <v>18</v>
      </c>
      <c r="H2" s="31" t="s">
        <v>19</v>
      </c>
      <c r="I2" s="32" t="s">
        <v>4</v>
      </c>
      <c r="J2" s="31" t="s">
        <v>5</v>
      </c>
      <c r="K2" s="32" t="s">
        <v>6</v>
      </c>
      <c r="L2" s="31" t="s">
        <v>7</v>
      </c>
      <c r="M2" s="32" t="s">
        <v>8</v>
      </c>
      <c r="N2" s="35"/>
    </row>
    <row r="3" spans="1:14">
      <c r="A3" s="8" t="s">
        <v>371</v>
      </c>
      <c r="B3" s="9">
        <v>64345</v>
      </c>
      <c r="C3" s="9"/>
      <c r="D3" s="9"/>
      <c r="E3" s="9">
        <v>68000</v>
      </c>
      <c r="F3" s="9"/>
      <c r="G3" s="9"/>
      <c r="H3" s="9"/>
      <c r="I3" s="9"/>
      <c r="J3" s="9"/>
      <c r="K3" s="9"/>
      <c r="L3" s="9"/>
      <c r="M3" s="9"/>
      <c r="N3" s="36">
        <f t="shared" ref="N3:N39" si="0">SUM(B3:M3)</f>
        <v>132345</v>
      </c>
    </row>
    <row r="4" spans="1:14">
      <c r="A4" s="8" t="s">
        <v>372</v>
      </c>
      <c r="B4" s="9">
        <v>2889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6">
        <f t="shared" si="0"/>
        <v>2889</v>
      </c>
    </row>
    <row r="5" spans="1:14">
      <c r="A5" s="8" t="s">
        <v>373</v>
      </c>
      <c r="B5" s="9">
        <v>1350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6">
        <f t="shared" si="0"/>
        <v>1350</v>
      </c>
    </row>
    <row r="6" spans="1:14">
      <c r="A6" s="8" t="s">
        <v>374</v>
      </c>
      <c r="B6" s="9">
        <v>13756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6">
        <f t="shared" si="0"/>
        <v>13756</v>
      </c>
    </row>
    <row r="7" spans="1:14">
      <c r="A7" s="12" t="s">
        <v>375</v>
      </c>
      <c r="B7" s="9"/>
      <c r="C7" s="9"/>
      <c r="D7" s="9"/>
      <c r="E7" s="9"/>
      <c r="F7" s="9"/>
      <c r="G7" s="9">
        <v>20630</v>
      </c>
      <c r="H7" s="9"/>
      <c r="I7" s="9"/>
      <c r="J7" s="9"/>
      <c r="K7" s="9"/>
      <c r="L7" s="9"/>
      <c r="M7" s="9"/>
      <c r="N7" s="37">
        <f t="shared" si="0"/>
        <v>20630</v>
      </c>
    </row>
    <row r="8" spans="1:14">
      <c r="A8" s="12" t="s">
        <v>376</v>
      </c>
      <c r="B8" s="9"/>
      <c r="C8" s="9"/>
      <c r="D8" s="9"/>
      <c r="E8" s="9"/>
      <c r="F8" s="9"/>
      <c r="G8" s="9"/>
      <c r="H8" s="9">
        <v>3417</v>
      </c>
      <c r="I8" s="9"/>
      <c r="J8" s="9"/>
      <c r="K8" s="9"/>
      <c r="L8" s="9"/>
      <c r="M8" s="9"/>
      <c r="N8" s="37">
        <f t="shared" si="0"/>
        <v>3417</v>
      </c>
    </row>
    <row r="9" spans="1:14">
      <c r="A9" s="12" t="s">
        <v>377</v>
      </c>
      <c r="B9" s="9"/>
      <c r="C9" s="9"/>
      <c r="D9" s="9"/>
      <c r="E9" s="9"/>
      <c r="F9" s="9"/>
      <c r="G9" s="9"/>
      <c r="H9" s="9">
        <v>1401</v>
      </c>
      <c r="I9" s="9"/>
      <c r="J9" s="9"/>
      <c r="K9" s="9"/>
      <c r="L9" s="9"/>
      <c r="M9" s="9"/>
      <c r="N9" s="37">
        <f t="shared" si="0"/>
        <v>1401</v>
      </c>
    </row>
    <row r="10" spans="1:14">
      <c r="A10" s="12" t="s">
        <v>378</v>
      </c>
      <c r="B10" s="9"/>
      <c r="C10" s="9"/>
      <c r="D10" s="9"/>
      <c r="E10" s="9"/>
      <c r="F10" s="9"/>
      <c r="G10" s="9"/>
      <c r="H10" s="9">
        <v>4940</v>
      </c>
      <c r="I10" s="9"/>
      <c r="J10" s="9"/>
      <c r="K10" s="9"/>
      <c r="L10" s="9"/>
      <c r="M10" s="9"/>
      <c r="N10" s="37">
        <f t="shared" si="0"/>
        <v>4940</v>
      </c>
    </row>
    <row r="11" spans="1:14">
      <c r="A11" s="12" t="s">
        <v>217</v>
      </c>
      <c r="B11" s="9"/>
      <c r="C11" s="9"/>
      <c r="D11" s="9"/>
      <c r="E11" s="9"/>
      <c r="F11" s="9"/>
      <c r="G11" s="9"/>
      <c r="H11" s="9">
        <v>1850</v>
      </c>
      <c r="I11" s="9">
        <v>1511</v>
      </c>
      <c r="J11" s="9"/>
      <c r="K11" s="9"/>
      <c r="L11" s="9"/>
      <c r="M11" s="9"/>
      <c r="N11" s="37">
        <f t="shared" si="0"/>
        <v>3361</v>
      </c>
    </row>
    <row r="12" spans="1:14">
      <c r="A12" s="12" t="s">
        <v>379</v>
      </c>
      <c r="B12" s="9"/>
      <c r="C12" s="9"/>
      <c r="D12" s="9"/>
      <c r="E12" s="9"/>
      <c r="F12" s="9"/>
      <c r="G12" s="9"/>
      <c r="H12" s="9">
        <v>2546</v>
      </c>
      <c r="I12" s="9"/>
      <c r="J12" s="9"/>
      <c r="K12" s="9"/>
      <c r="L12" s="9"/>
      <c r="M12" s="9"/>
      <c r="N12" s="37">
        <f t="shared" si="0"/>
        <v>2546</v>
      </c>
    </row>
    <row r="13" spans="1:14">
      <c r="A13" s="12" t="s">
        <v>380</v>
      </c>
      <c r="B13" s="9"/>
      <c r="C13" s="9"/>
      <c r="D13" s="9"/>
      <c r="E13" s="9"/>
      <c r="F13" s="9"/>
      <c r="G13" s="9"/>
      <c r="H13" s="9">
        <v>393</v>
      </c>
      <c r="I13" s="9"/>
      <c r="J13" s="9"/>
      <c r="K13" s="9"/>
      <c r="L13" s="9"/>
      <c r="M13" s="9"/>
      <c r="N13" s="37">
        <f t="shared" si="0"/>
        <v>393</v>
      </c>
    </row>
    <row r="14" spans="1:14">
      <c r="A14" s="8" t="s">
        <v>229</v>
      </c>
      <c r="B14" s="9"/>
      <c r="C14" s="9"/>
      <c r="D14" s="9"/>
      <c r="E14" s="9"/>
      <c r="F14" s="9"/>
      <c r="G14" s="9"/>
      <c r="H14" s="9">
        <v>1616</v>
      </c>
      <c r="I14" s="9"/>
      <c r="J14" s="9"/>
      <c r="K14" s="9"/>
      <c r="L14" s="9"/>
      <c r="M14" s="9"/>
      <c r="N14" s="36">
        <f t="shared" si="0"/>
        <v>1616</v>
      </c>
    </row>
    <row r="15" spans="1:14">
      <c r="A15" s="8" t="s">
        <v>144</v>
      </c>
      <c r="B15" s="9"/>
      <c r="C15" s="9"/>
      <c r="D15" s="9"/>
      <c r="E15" s="9"/>
      <c r="F15" s="9"/>
      <c r="G15" s="9"/>
      <c r="H15" s="9">
        <v>720</v>
      </c>
      <c r="I15" s="9"/>
      <c r="J15" s="9"/>
      <c r="K15" s="9"/>
      <c r="L15" s="9"/>
      <c r="M15" s="9"/>
      <c r="N15" s="36">
        <f t="shared" si="0"/>
        <v>720</v>
      </c>
    </row>
    <row r="16" spans="1:14">
      <c r="A16" s="8" t="s">
        <v>381</v>
      </c>
      <c r="B16" s="9"/>
      <c r="C16" s="9"/>
      <c r="D16" s="9"/>
      <c r="E16" s="9"/>
      <c r="F16" s="9"/>
      <c r="G16" s="9"/>
      <c r="H16" s="9">
        <v>9833</v>
      </c>
      <c r="I16" s="9"/>
      <c r="J16" s="9"/>
      <c r="K16" s="9"/>
      <c r="L16" s="9"/>
      <c r="M16" s="9"/>
      <c r="N16" s="36">
        <f t="shared" si="0"/>
        <v>9833</v>
      </c>
    </row>
    <row r="17" spans="1:14">
      <c r="A17" s="8" t="s">
        <v>382</v>
      </c>
      <c r="B17" s="9"/>
      <c r="C17" s="9"/>
      <c r="D17" s="9"/>
      <c r="E17" s="9"/>
      <c r="F17" s="9"/>
      <c r="G17" s="9"/>
      <c r="H17" s="9"/>
      <c r="I17" s="9">
        <v>27560</v>
      </c>
      <c r="J17" s="9"/>
      <c r="K17" s="9"/>
      <c r="L17" s="9"/>
      <c r="M17" s="9"/>
      <c r="N17" s="36">
        <f t="shared" si="0"/>
        <v>27560</v>
      </c>
    </row>
    <row r="18" spans="1:14">
      <c r="A18" s="8" t="s">
        <v>383</v>
      </c>
      <c r="B18" s="9"/>
      <c r="C18" s="9"/>
      <c r="D18" s="9"/>
      <c r="E18" s="9"/>
      <c r="F18" s="9"/>
      <c r="G18" s="9"/>
      <c r="H18" s="9"/>
      <c r="I18" s="9">
        <v>38000</v>
      </c>
      <c r="J18" s="9"/>
      <c r="K18" s="9"/>
      <c r="L18" s="9"/>
      <c r="M18" s="9"/>
      <c r="N18" s="36">
        <f t="shared" si="0"/>
        <v>38000</v>
      </c>
    </row>
    <row r="19" spans="1:14">
      <c r="A19" s="8" t="s">
        <v>384</v>
      </c>
      <c r="B19" s="9"/>
      <c r="C19" s="9"/>
      <c r="D19" s="9"/>
      <c r="E19" s="9"/>
      <c r="F19" s="9"/>
      <c r="G19" s="9"/>
      <c r="H19" s="9"/>
      <c r="I19" s="9">
        <v>28696</v>
      </c>
      <c r="J19" s="9"/>
      <c r="K19" s="9"/>
      <c r="L19" s="9"/>
      <c r="M19" s="9"/>
      <c r="N19" s="36">
        <f t="shared" si="0"/>
        <v>28696</v>
      </c>
    </row>
    <row r="20" spans="1:14">
      <c r="A20" s="8" t="s">
        <v>385</v>
      </c>
      <c r="B20" s="9"/>
      <c r="C20" s="9"/>
      <c r="D20" s="9"/>
      <c r="E20" s="9"/>
      <c r="F20" s="9"/>
      <c r="G20" s="9"/>
      <c r="H20" s="9"/>
      <c r="I20" s="9">
        <v>33600</v>
      </c>
      <c r="J20" s="9"/>
      <c r="K20" s="9"/>
      <c r="L20" s="9"/>
      <c r="M20" s="9"/>
      <c r="N20" s="36">
        <f t="shared" si="0"/>
        <v>33600</v>
      </c>
    </row>
    <row r="21" spans="1:14">
      <c r="A21" s="8" t="s">
        <v>386</v>
      </c>
      <c r="B21" s="9"/>
      <c r="C21" s="9"/>
      <c r="D21" s="9"/>
      <c r="E21" s="9"/>
      <c r="F21" s="9"/>
      <c r="G21" s="9"/>
      <c r="H21" s="9"/>
      <c r="I21" s="9">
        <v>64162</v>
      </c>
      <c r="J21" s="9"/>
      <c r="K21" s="9"/>
      <c r="L21" s="9"/>
      <c r="M21" s="9"/>
      <c r="N21" s="36">
        <f t="shared" si="0"/>
        <v>64162</v>
      </c>
    </row>
    <row r="22" spans="1:14">
      <c r="A22" s="8" t="s">
        <v>387</v>
      </c>
      <c r="B22" s="9"/>
      <c r="C22" s="9"/>
      <c r="D22" s="9"/>
      <c r="E22" s="9"/>
      <c r="F22" s="9"/>
      <c r="G22" s="9"/>
      <c r="H22" s="9"/>
      <c r="I22" s="9">
        <v>38255</v>
      </c>
      <c r="J22" s="9"/>
      <c r="K22" s="9"/>
      <c r="L22" s="9"/>
      <c r="M22" s="9"/>
      <c r="N22" s="36">
        <f t="shared" si="0"/>
        <v>38255</v>
      </c>
    </row>
    <row r="23" spans="1:14">
      <c r="A23" s="8" t="s">
        <v>388</v>
      </c>
      <c r="B23" s="9"/>
      <c r="C23" s="9"/>
      <c r="D23" s="9"/>
      <c r="E23" s="9"/>
      <c r="F23" s="9"/>
      <c r="G23" s="9"/>
      <c r="H23" s="9"/>
      <c r="I23" s="9">
        <v>3416</v>
      </c>
      <c r="J23" s="9"/>
      <c r="K23" s="9"/>
      <c r="L23" s="9"/>
      <c r="M23" s="9"/>
      <c r="N23" s="36">
        <f t="shared" si="0"/>
        <v>3416</v>
      </c>
    </row>
    <row r="24" spans="1:14">
      <c r="A24" s="8" t="s">
        <v>389</v>
      </c>
      <c r="B24" s="9"/>
      <c r="C24" s="9"/>
      <c r="D24" s="9"/>
      <c r="E24" s="9"/>
      <c r="F24" s="9"/>
      <c r="G24" s="9"/>
      <c r="H24" s="9"/>
      <c r="I24" s="9">
        <v>996</v>
      </c>
      <c r="J24" s="9"/>
      <c r="K24" s="9"/>
      <c r="L24" s="9"/>
      <c r="M24" s="9"/>
      <c r="N24" s="36">
        <f t="shared" si="0"/>
        <v>996</v>
      </c>
    </row>
    <row r="25" spans="1:14">
      <c r="A25" s="8" t="s">
        <v>390</v>
      </c>
      <c r="B25" s="9"/>
      <c r="C25" s="9"/>
      <c r="D25" s="9"/>
      <c r="E25" s="9"/>
      <c r="F25" s="9"/>
      <c r="G25" s="9"/>
      <c r="H25" s="9"/>
      <c r="I25" s="9">
        <v>390</v>
      </c>
      <c r="J25" s="9"/>
      <c r="K25" s="9"/>
      <c r="L25" s="9"/>
      <c r="M25" s="9"/>
      <c r="N25" s="36">
        <f t="shared" si="0"/>
        <v>390</v>
      </c>
    </row>
    <row r="26" spans="1:14">
      <c r="A26" s="8" t="s">
        <v>391</v>
      </c>
      <c r="B26" s="9"/>
      <c r="C26" s="9"/>
      <c r="D26" s="9"/>
      <c r="E26" s="9"/>
      <c r="F26" s="9"/>
      <c r="G26" s="9"/>
      <c r="H26" s="9"/>
      <c r="I26" s="9">
        <v>484</v>
      </c>
      <c r="J26" s="9"/>
      <c r="K26" s="9"/>
      <c r="L26" s="9"/>
      <c r="M26" s="9"/>
      <c r="N26" s="36">
        <f t="shared" si="0"/>
        <v>484</v>
      </c>
    </row>
    <row r="27" spans="1:14">
      <c r="A27" s="8" t="s">
        <v>205</v>
      </c>
      <c r="B27" s="9"/>
      <c r="C27" s="9"/>
      <c r="D27" s="9"/>
      <c r="E27" s="9"/>
      <c r="F27" s="9"/>
      <c r="G27" s="9"/>
      <c r="H27" s="9"/>
      <c r="I27" s="9">
        <v>6</v>
      </c>
      <c r="J27" s="9"/>
      <c r="K27" s="9"/>
      <c r="L27" s="9"/>
      <c r="M27" s="9"/>
      <c r="N27" s="36">
        <f t="shared" si="0"/>
        <v>6</v>
      </c>
    </row>
    <row r="28" spans="1:14">
      <c r="A28" s="8" t="s">
        <v>392</v>
      </c>
      <c r="B28" s="9"/>
      <c r="C28" s="9"/>
      <c r="D28" s="9"/>
      <c r="E28" s="9"/>
      <c r="F28" s="9"/>
      <c r="G28" s="9"/>
      <c r="H28" s="9"/>
      <c r="I28" s="9">
        <v>8699</v>
      </c>
      <c r="J28" s="9"/>
      <c r="K28" s="9"/>
      <c r="L28" s="9"/>
      <c r="M28" s="9"/>
      <c r="N28" s="36">
        <f t="shared" si="0"/>
        <v>8699</v>
      </c>
    </row>
    <row r="29" spans="1:14">
      <c r="A29" s="8" t="s">
        <v>393</v>
      </c>
      <c r="B29" s="9"/>
      <c r="C29" s="9"/>
      <c r="D29" s="9"/>
      <c r="E29" s="9"/>
      <c r="F29" s="9"/>
      <c r="G29" s="9"/>
      <c r="H29" s="9"/>
      <c r="I29" s="9">
        <v>832</v>
      </c>
      <c r="J29" s="9"/>
      <c r="K29" s="9"/>
      <c r="L29" s="9"/>
      <c r="M29" s="9"/>
      <c r="N29" s="36">
        <f t="shared" si="0"/>
        <v>832</v>
      </c>
    </row>
    <row r="30" spans="1:14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6"/>
    </row>
    <row r="31" spans="1:14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6">
        <f t="shared" si="0"/>
        <v>0</v>
      </c>
    </row>
    <row r="32" spans="1:14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36">
        <f t="shared" si="0"/>
        <v>0</v>
      </c>
    </row>
    <row r="33" spans="1:1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6">
        <f t="shared" si="0"/>
        <v>0</v>
      </c>
    </row>
    <row r="34" spans="1:14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36">
        <f t="shared" si="0"/>
        <v>0</v>
      </c>
    </row>
    <row r="35" spans="1:14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6">
        <f t="shared" si="0"/>
        <v>0</v>
      </c>
    </row>
    <row r="36" spans="1:14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36">
        <f t="shared" si="0"/>
        <v>0</v>
      </c>
    </row>
    <row r="37" spans="1:14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36">
        <f t="shared" si="0"/>
        <v>0</v>
      </c>
    </row>
    <row r="38" spans="1:1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36">
        <f t="shared" si="0"/>
        <v>0</v>
      </c>
    </row>
    <row r="39" spans="1:14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36">
        <f t="shared" si="0"/>
        <v>0</v>
      </c>
    </row>
    <row r="40" spans="1:14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36">
        <f t="shared" ref="N40:N61" si="1">SUM(B40:M40)</f>
        <v>0</v>
      </c>
    </row>
    <row r="41" spans="1:14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6">
        <f t="shared" si="1"/>
        <v>0</v>
      </c>
    </row>
    <row r="42" spans="1:14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6">
        <f t="shared" si="1"/>
        <v>0</v>
      </c>
    </row>
    <row r="43" spans="1:14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6">
        <f t="shared" si="1"/>
        <v>0</v>
      </c>
    </row>
    <row r="44" spans="1:14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6">
        <f t="shared" si="1"/>
        <v>0</v>
      </c>
    </row>
    <row r="45" spans="1:14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6">
        <f t="shared" si="1"/>
        <v>0</v>
      </c>
    </row>
    <row r="46" spans="1:14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6">
        <f t="shared" si="1"/>
        <v>0</v>
      </c>
    </row>
    <row r="47" spans="1:14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6">
        <f t="shared" si="1"/>
        <v>0</v>
      </c>
    </row>
    <row r="48" spans="1:14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6">
        <f t="shared" si="1"/>
        <v>0</v>
      </c>
    </row>
    <row r="49" spans="1:14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6">
        <f t="shared" si="1"/>
        <v>0</v>
      </c>
    </row>
    <row r="50" spans="1:14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36">
        <f t="shared" si="1"/>
        <v>0</v>
      </c>
    </row>
    <row r="51" spans="1:14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36">
        <f t="shared" si="1"/>
        <v>0</v>
      </c>
    </row>
    <row r="52" spans="1:14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6">
        <f t="shared" si="1"/>
        <v>0</v>
      </c>
    </row>
    <row r="53" spans="1:14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36">
        <f t="shared" si="1"/>
        <v>0</v>
      </c>
    </row>
    <row r="54" spans="1:14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6">
        <f t="shared" si="1"/>
        <v>0</v>
      </c>
    </row>
    <row r="55" spans="1:14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36">
        <f t="shared" si="1"/>
        <v>0</v>
      </c>
    </row>
    <row r="56" spans="1:14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6">
        <f t="shared" si="1"/>
        <v>0</v>
      </c>
    </row>
    <row r="57" spans="1:14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36">
        <f t="shared" si="1"/>
        <v>0</v>
      </c>
    </row>
    <row r="58" spans="1:14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36">
        <f t="shared" si="1"/>
        <v>0</v>
      </c>
    </row>
    <row r="59" spans="1:14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36">
        <f t="shared" si="1"/>
        <v>0</v>
      </c>
    </row>
    <row r="60" spans="1:14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36">
        <f t="shared" si="1"/>
        <v>0</v>
      </c>
    </row>
    <row r="61" spans="1:14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6">
        <f t="shared" si="1"/>
        <v>0</v>
      </c>
    </row>
    <row r="62" spans="1:14">
      <c r="A62" s="28" t="s">
        <v>126</v>
      </c>
      <c r="B62" s="33">
        <f t="shared" ref="B62:N62" si="2">SUM(B3:B61)</f>
        <v>82340</v>
      </c>
      <c r="C62" s="33">
        <f t="shared" si="2"/>
        <v>0</v>
      </c>
      <c r="D62" s="33">
        <f t="shared" si="2"/>
        <v>0</v>
      </c>
      <c r="E62" s="33">
        <f t="shared" si="2"/>
        <v>68000</v>
      </c>
      <c r="F62" s="33">
        <f t="shared" si="2"/>
        <v>0</v>
      </c>
      <c r="G62" s="33">
        <f t="shared" si="2"/>
        <v>20630</v>
      </c>
      <c r="H62" s="33">
        <f t="shared" si="2"/>
        <v>26716</v>
      </c>
      <c r="I62" s="33">
        <f t="shared" si="2"/>
        <v>246607</v>
      </c>
      <c r="J62" s="33">
        <f t="shared" si="2"/>
        <v>0</v>
      </c>
      <c r="K62" s="33">
        <f t="shared" si="2"/>
        <v>0</v>
      </c>
      <c r="L62" s="33">
        <f t="shared" si="2"/>
        <v>0</v>
      </c>
      <c r="M62" s="33">
        <f t="shared" si="2"/>
        <v>0</v>
      </c>
      <c r="N62" s="33">
        <f t="shared" si="2"/>
        <v>444293</v>
      </c>
    </row>
    <row r="64" spans="1:14">
      <c r="N64" s="27">
        <f>SUM(B62:M62)-N62</f>
        <v>0</v>
      </c>
    </row>
  </sheetData>
  <printOptions horizontalCentered="1"/>
  <pageMargins left="0.23622047244094499" right="0.23622047244094499" top="0.74803149606299202" bottom="0.74803149606299202" header="0.31496062992126" footer="0.31496062992126"/>
  <pageSetup paperSize="9" scale="56" firstPageNumber="4294967295" orientation="portrait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I55" sqref="I55"/>
    </sheetView>
  </sheetViews>
  <sheetFormatPr defaultColWidth="9" defaultRowHeight="15"/>
  <cols>
    <col min="1" max="1" width="39.28515625" customWidth="1"/>
    <col min="2" max="10" width="10.28515625" customWidth="1"/>
    <col min="11" max="11" width="10.42578125" customWidth="1"/>
    <col min="12" max="12" width="9.28515625" customWidth="1"/>
    <col min="14" max="14" width="12.85546875" customWidth="1"/>
    <col min="18" max="18" width="10.28515625" customWidth="1"/>
  </cols>
  <sheetData>
    <row r="1" spans="1:14">
      <c r="A1" s="2" t="s">
        <v>394</v>
      </c>
      <c r="B1" s="3" t="str">
        <f>'ВСЕ затраты'!B1</f>
        <v>2024-2025гг.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>
      <c r="A2" s="5"/>
      <c r="B2" s="6" t="s">
        <v>9</v>
      </c>
      <c r="C2" s="7" t="s">
        <v>14</v>
      </c>
      <c r="D2" s="6" t="s">
        <v>15</v>
      </c>
      <c r="E2" s="7" t="s">
        <v>16</v>
      </c>
      <c r="F2" s="6" t="s">
        <v>17</v>
      </c>
      <c r="G2" s="7" t="s">
        <v>18</v>
      </c>
      <c r="H2" s="6" t="s">
        <v>19</v>
      </c>
      <c r="I2" s="7" t="s">
        <v>4</v>
      </c>
      <c r="J2" s="6" t="s">
        <v>5</v>
      </c>
      <c r="K2" s="7" t="s">
        <v>6</v>
      </c>
      <c r="L2" s="6" t="s">
        <v>7</v>
      </c>
      <c r="M2" s="7" t="s">
        <v>8</v>
      </c>
      <c r="N2" s="13"/>
    </row>
    <row r="3" spans="1:14">
      <c r="A3" s="8" t="s">
        <v>395</v>
      </c>
      <c r="B3" s="9"/>
      <c r="C3" s="9"/>
      <c r="D3" s="9">
        <v>120000</v>
      </c>
      <c r="E3" s="9"/>
      <c r="F3" s="9"/>
      <c r="G3" s="9"/>
      <c r="H3" s="9"/>
      <c r="I3" s="9"/>
      <c r="J3" s="9"/>
      <c r="K3" s="9"/>
      <c r="L3" s="9"/>
      <c r="M3" s="9"/>
      <c r="N3" s="9">
        <f t="shared" ref="N3:N54" si="0">SUM(B3:M3)</f>
        <v>120000</v>
      </c>
    </row>
    <row r="4" spans="1:14" s="1" customFormat="1" ht="14.25">
      <c r="A4" s="10" t="s">
        <v>396</v>
      </c>
      <c r="B4" s="11"/>
      <c r="C4" s="11"/>
      <c r="D4" s="11"/>
      <c r="E4" s="11"/>
      <c r="F4" s="11">
        <v>443232</v>
      </c>
      <c r="G4" s="11">
        <v>295488</v>
      </c>
      <c r="H4" s="11"/>
      <c r="I4" s="11"/>
      <c r="J4" s="11"/>
      <c r="K4" s="11"/>
      <c r="L4" s="11"/>
      <c r="M4" s="11"/>
      <c r="N4" s="11">
        <f t="shared" ref="N4:N8" si="1">SUM(B4:M4)</f>
        <v>738720</v>
      </c>
    </row>
    <row r="5" spans="1:14" s="1" customFormat="1" ht="14.25">
      <c r="A5" s="10" t="s">
        <v>397</v>
      </c>
      <c r="B5" s="11"/>
      <c r="C5" s="11"/>
      <c r="D5" s="11"/>
      <c r="E5" s="11"/>
      <c r="F5" s="11">
        <v>33000</v>
      </c>
      <c r="G5" s="11">
        <v>22000</v>
      </c>
      <c r="H5" s="11"/>
      <c r="I5" s="11"/>
      <c r="J5" s="11"/>
      <c r="K5" s="11"/>
      <c r="L5" s="11"/>
      <c r="M5" s="11"/>
      <c r="N5" s="11">
        <f t="shared" si="1"/>
        <v>55000</v>
      </c>
    </row>
    <row r="6" spans="1:14" s="1" customFormat="1" ht="14.25">
      <c r="A6" s="10" t="s">
        <v>398</v>
      </c>
      <c r="B6" s="11"/>
      <c r="C6" s="11"/>
      <c r="D6" s="11"/>
      <c r="E6" s="11"/>
      <c r="F6" s="11"/>
      <c r="G6" s="11">
        <v>124000</v>
      </c>
      <c r="H6" s="11"/>
      <c r="I6" s="11"/>
      <c r="J6" s="11"/>
      <c r="K6" s="11"/>
      <c r="L6" s="11"/>
      <c r="M6" s="11"/>
      <c r="N6" s="11">
        <f t="shared" si="1"/>
        <v>124000</v>
      </c>
    </row>
    <row r="7" spans="1:14" s="1" customFormat="1" ht="14.25">
      <c r="A7" s="10" t="s">
        <v>399</v>
      </c>
      <c r="B7" s="11"/>
      <c r="C7" s="11"/>
      <c r="D7" s="11"/>
      <c r="E7" s="11"/>
      <c r="F7" s="11"/>
      <c r="G7" s="11"/>
      <c r="H7" s="11">
        <v>59500</v>
      </c>
      <c r="I7" s="11"/>
      <c r="J7" s="11"/>
      <c r="K7" s="11"/>
      <c r="L7" s="11"/>
      <c r="M7" s="11"/>
      <c r="N7" s="11">
        <f t="shared" si="1"/>
        <v>59500</v>
      </c>
    </row>
    <row r="8" spans="1:14">
      <c r="A8" s="12" t="s">
        <v>400</v>
      </c>
      <c r="B8" s="9">
        <v>110432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22">
        <f t="shared" si="1"/>
        <v>110432</v>
      </c>
    </row>
    <row r="9" spans="1:14">
      <c r="A9" s="13" t="s">
        <v>401</v>
      </c>
      <c r="B9" s="9"/>
      <c r="C9" s="9"/>
      <c r="D9" s="9"/>
      <c r="E9" s="9"/>
      <c r="F9" s="9"/>
      <c r="G9" s="9"/>
      <c r="H9" s="9"/>
      <c r="I9" s="9">
        <v>245820</v>
      </c>
      <c r="J9" s="9"/>
      <c r="K9" s="9"/>
      <c r="L9" s="9"/>
      <c r="M9" s="9"/>
      <c r="N9" s="9">
        <v>245820</v>
      </c>
    </row>
    <row r="10" spans="1:14">
      <c r="A10" s="13" t="s">
        <v>402</v>
      </c>
      <c r="B10" s="9"/>
      <c r="C10" s="9"/>
      <c r="D10" s="9"/>
      <c r="E10" s="9"/>
      <c r="F10" s="9"/>
      <c r="G10" s="9"/>
      <c r="H10" s="9"/>
      <c r="I10" s="9">
        <v>52965</v>
      </c>
      <c r="J10" s="9"/>
      <c r="K10" s="9"/>
      <c r="L10" s="9"/>
      <c r="M10" s="9"/>
      <c r="N10" s="9">
        <v>52965</v>
      </c>
    </row>
    <row r="11" spans="1:14">
      <c r="A11" s="14" t="s">
        <v>403</v>
      </c>
      <c r="B11" s="9"/>
      <c r="C11" s="9"/>
      <c r="D11" s="9"/>
      <c r="E11" s="9"/>
      <c r="F11" s="9"/>
      <c r="G11" s="9"/>
      <c r="H11" s="9"/>
      <c r="I11" s="9">
        <v>161000</v>
      </c>
      <c r="J11" s="9"/>
      <c r="K11" s="9"/>
      <c r="L11" s="9"/>
      <c r="M11" s="9"/>
      <c r="N11" s="9">
        <v>161000</v>
      </c>
    </row>
    <row r="12" spans="1:14">
      <c r="A12" s="1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</row>
    <row r="13" spans="1:14">
      <c r="A13" s="1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>
      <c r="A14" s="1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0</v>
      </c>
    </row>
    <row r="15" spans="1:14">
      <c r="A15" s="1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0</v>
      </c>
    </row>
    <row r="16" spans="1:14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>
      <c r="A17" s="1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3">
        <f t="shared" si="0"/>
        <v>0</v>
      </c>
    </row>
    <row r="19" spans="1:14">
      <c r="A19" s="1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hidden="1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hidden="1">
      <c r="A21" s="1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hidden="1">
      <c r="A22" s="1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hidden="1">
      <c r="A23" s="1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hidden="1">
      <c r="A24" s="1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0"/>
        <v>0</v>
      </c>
    </row>
    <row r="25" spans="1:14" hidden="1">
      <c r="A25" s="1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hidden="1">
      <c r="A26" s="1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0"/>
        <v>0</v>
      </c>
    </row>
    <row r="27" spans="1:14" hidden="1">
      <c r="A27" s="1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hidden="1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hidden="1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hidden="1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hidden="1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hidden="1">
      <c r="A32" s="1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hidden="1">
      <c r="A33" s="1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hidden="1">
      <c r="A34" s="1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hidden="1">
      <c r="A35" s="1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hidden="1">
      <c r="A36" s="1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hidden="1">
      <c r="A37" s="1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hidden="1">
      <c r="A38" s="1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  <row r="39" spans="1:14" hidden="1">
      <c r="A39" s="1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hidden="1">
      <c r="A40" s="1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hidden="1">
      <c r="A41" s="1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hidden="1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3">
        <f t="shared" si="0"/>
        <v>0</v>
      </c>
    </row>
    <row r="43" spans="1:14" hidden="1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 t="shared" si="0"/>
        <v>0</v>
      </c>
    </row>
    <row r="44" spans="1:14" hidden="1">
      <c r="A44" s="1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 t="shared" si="0"/>
        <v>0</v>
      </c>
    </row>
    <row r="45" spans="1:14" hidden="1">
      <c r="A45" s="1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0"/>
        <v>0</v>
      </c>
    </row>
    <row r="46" spans="1:14" hidden="1">
      <c r="A46" s="1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0"/>
        <v>0</v>
      </c>
    </row>
    <row r="47" spans="1:14" hidden="1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>
        <f t="shared" si="0"/>
        <v>0</v>
      </c>
    </row>
    <row r="48" spans="1:14" hidden="1">
      <c r="A48" s="1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f t="shared" si="0"/>
        <v>0</v>
      </c>
    </row>
    <row r="49" spans="1:14" hidden="1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>
        <f t="shared" si="0"/>
        <v>0</v>
      </c>
    </row>
    <row r="50" spans="1:14" hidden="1">
      <c r="A50" s="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 t="shared" si="0"/>
        <v>0</v>
      </c>
    </row>
    <row r="51" spans="1:14" hidden="1">
      <c r="A51" s="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si="0"/>
        <v>0</v>
      </c>
    </row>
    <row r="52" spans="1:14" hidden="1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0"/>
        <v>0</v>
      </c>
    </row>
    <row r="53" spans="1:14">
      <c r="A53" s="1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0"/>
        <v>0</v>
      </c>
    </row>
    <row r="54" spans="1:14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9">
        <f t="shared" si="0"/>
        <v>0</v>
      </c>
    </row>
    <row r="55" spans="1:14">
      <c r="A55" s="2" t="s">
        <v>126</v>
      </c>
      <c r="B55" s="21">
        <f>SUM(B3:B54)</f>
        <v>110432</v>
      </c>
      <c r="C55" s="21">
        <f>SUM(C3:C54)</f>
        <v>0</v>
      </c>
      <c r="D55" s="21">
        <f t="shared" ref="D55:N55" si="2">SUM(D3:D54)</f>
        <v>120000</v>
      </c>
      <c r="E55" s="21">
        <f t="shared" si="2"/>
        <v>0</v>
      </c>
      <c r="F55" s="21">
        <f t="shared" si="2"/>
        <v>476232</v>
      </c>
      <c r="G55" s="21">
        <f t="shared" si="2"/>
        <v>441488</v>
      </c>
      <c r="H55" s="21">
        <f t="shared" si="2"/>
        <v>59500</v>
      </c>
      <c r="I55" s="21">
        <f t="shared" si="2"/>
        <v>459785</v>
      </c>
      <c r="J55" s="21">
        <f t="shared" si="2"/>
        <v>0</v>
      </c>
      <c r="K55" s="21">
        <f t="shared" si="2"/>
        <v>0</v>
      </c>
      <c r="L55" s="21">
        <f t="shared" si="2"/>
        <v>0</v>
      </c>
      <c r="M55" s="21">
        <f t="shared" si="2"/>
        <v>0</v>
      </c>
      <c r="N55" s="21">
        <f t="shared" si="2"/>
        <v>1667437</v>
      </c>
    </row>
    <row r="57" spans="1:14">
      <c r="N57" s="24">
        <f>SUM(B55:M55)-N55</f>
        <v>0</v>
      </c>
    </row>
  </sheetData>
  <pageMargins left="0.25" right="0.25" top="0.75" bottom="0.75" header="0.3" footer="0.3"/>
  <pageSetup paperSize="9" scale="82" firstPageNumber="4294967295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Лист17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2025-07-28T11:50:42Z</cp:lastPrinted>
  <dcterms:created xsi:type="dcterms:W3CDTF">2015-11-16T11:04:00Z</dcterms:created>
  <dcterms:modified xsi:type="dcterms:W3CDTF">2025-07-28T13:36:32Z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F4813014E5E44EB7871D7F822460FEB4_13</vt:lpwstr>
  </property>
  <property fmtid="{D5CDD505-2E9C-101B-9397-08002B2CF9AE}" pid="3" name="KSOProductBuildVer">
    <vt:lpwstr>1049-12.2.0.21931</vt:lpwstr>
  </property>
</Properties>
</file>