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ОГЛАСИЕ\КП Согласие\БЮДЖЕТ\БЮДЖЕТ 2025-2026\"/>
    </mc:Choice>
  </mc:AlternateContent>
  <bookViews>
    <workbookView xWindow="-105" yWindow="-105" windowWidth="23250" windowHeight="13890" tabRatio="788" firstSheet="1" activeTab="1"/>
  </bookViews>
  <sheets>
    <sheet name="ВСЕ затраты за 6 мес." sheetId="1" state="hidden" r:id="rId1"/>
    <sheet name="ВСЕ затраты" sheetId="2" r:id="rId2"/>
    <sheet name="ВСЕ затраты в 2016-2017 гг (2)" sheetId="3" state="hidden" r:id="rId3"/>
    <sheet name="общехоз расходы" sheetId="4" r:id="rId4"/>
    <sheet name="прогр обесп" sheetId="5" r:id="rId5"/>
    <sheet name="связь" sheetId="6" r:id="rId6"/>
    <sheet name="з пл" sheetId="7" r:id="rId7"/>
    <sheet name="премии" sheetId="8" r:id="rId8"/>
    <sheet name="налог с ФОТ" sheetId="9" r:id="rId9"/>
    <sheet name="мусор" sheetId="12" r:id="rId10"/>
    <sheet name="вода" sheetId="14" r:id="rId11"/>
    <sheet name="канализация" sheetId="15" r:id="rId12"/>
    <sheet name="эл.снабж" sheetId="16" r:id="rId13"/>
    <sheet name="спец авто транспорт" sheetId="17" r:id="rId14"/>
    <sheet name="благ-во" sheetId="19" r:id="rId15"/>
    <sheet name="рез фонд" sheetId="20" r:id="rId16"/>
  </sheets>
  <definedNames>
    <definedName name="_xlnm._FilterDatabase" localSheetId="3" hidden="1">'общехоз расходы'!$A$1:$A$150</definedName>
    <definedName name="_xlnm.Print_Area" localSheetId="1">'ВСЕ затраты'!$A$1:$R$54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4" l="1"/>
  <c r="C49" i="4"/>
  <c r="C6" i="17"/>
  <c r="C4" i="17"/>
  <c r="N5" i="17" l="1"/>
  <c r="C14" i="17"/>
  <c r="P25" i="2"/>
  <c r="C3" i="7"/>
  <c r="F28" i="2"/>
  <c r="G28" i="2"/>
  <c r="H28" i="2"/>
  <c r="I28" i="2"/>
  <c r="J28" i="2"/>
  <c r="K28" i="2"/>
  <c r="L28" i="2"/>
  <c r="M28" i="2"/>
  <c r="N28" i="2"/>
  <c r="O28" i="2"/>
  <c r="C4" i="4"/>
  <c r="E69" i="2"/>
  <c r="C9" i="4"/>
  <c r="C11" i="4"/>
  <c r="C13" i="4"/>
  <c r="D69" i="2"/>
  <c r="C13" i="20"/>
  <c r="C5" i="6"/>
  <c r="C4" i="15"/>
  <c r="C3" i="15"/>
  <c r="C3" i="9"/>
  <c r="E7" i="2"/>
  <c r="E8" i="2"/>
  <c r="E5" i="2"/>
  <c r="B149" i="4" l="1"/>
  <c r="Q49" i="2"/>
  <c r="B1" i="5"/>
  <c r="B1" i="4"/>
  <c r="C42" i="2"/>
  <c r="C25" i="2"/>
  <c r="Q25" i="2" s="1"/>
  <c r="B48" i="17" l="1"/>
  <c r="C48" i="17"/>
  <c r="D48" i="17"/>
  <c r="E48" i="17"/>
  <c r="F48" i="17"/>
  <c r="G48" i="17"/>
  <c r="H48" i="17"/>
  <c r="I48" i="17"/>
  <c r="J48" i="17"/>
  <c r="K48" i="17"/>
  <c r="L48" i="17"/>
  <c r="M48" i="17"/>
  <c r="N5" i="14"/>
  <c r="N3" i="14"/>
  <c r="N4" i="14"/>
  <c r="B50" i="14"/>
  <c r="C50" i="14"/>
  <c r="E28" i="2" s="1"/>
  <c r="D50" i="14"/>
  <c r="E50" i="14"/>
  <c r="F50" i="14"/>
  <c r="G50" i="14"/>
  <c r="H50" i="14"/>
  <c r="I50" i="14"/>
  <c r="J50" i="14"/>
  <c r="K50" i="14"/>
  <c r="L50" i="14"/>
  <c r="M50" i="14"/>
  <c r="N49" i="14"/>
  <c r="N48" i="14"/>
  <c r="N47" i="14"/>
  <c r="N46" i="14"/>
  <c r="N45" i="14"/>
  <c r="N44" i="14"/>
  <c r="N42" i="14"/>
  <c r="N41" i="14"/>
  <c r="N40" i="14"/>
  <c r="N39" i="14"/>
  <c r="N38" i="14"/>
  <c r="N37" i="14"/>
  <c r="N36" i="14"/>
  <c r="N35" i="14"/>
  <c r="N34" i="14"/>
  <c r="N33" i="14"/>
  <c r="N31" i="14"/>
  <c r="N30" i="14"/>
  <c r="N10" i="6"/>
  <c r="N9" i="6"/>
  <c r="N8" i="6"/>
  <c r="J149" i="4"/>
  <c r="K149" i="4"/>
  <c r="M149" i="4"/>
  <c r="L149" i="4"/>
  <c r="N148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6" i="4"/>
  <c r="N105" i="4"/>
  <c r="N104" i="4"/>
  <c r="N24" i="4"/>
  <c r="N49" i="17" l="1"/>
  <c r="N51" i="14"/>
  <c r="M64" i="15"/>
  <c r="M6" i="7"/>
  <c r="L11" i="6" l="1"/>
  <c r="L6" i="9"/>
  <c r="L10" i="12"/>
  <c r="L64" i="15"/>
  <c r="L77" i="16"/>
  <c r="N15" i="2"/>
  <c r="K77" i="16" l="1"/>
  <c r="K64" i="15"/>
  <c r="K11" i="6"/>
  <c r="K10" i="12"/>
  <c r="K6" i="7"/>
  <c r="E149" i="4" l="1"/>
  <c r="I149" i="4" l="1"/>
  <c r="N29" i="14"/>
  <c r="N102" i="4" l="1"/>
  <c r="N103" i="4"/>
  <c r="N101" i="4"/>
  <c r="I15" i="2" l="1"/>
  <c r="F15" i="2"/>
  <c r="G16" i="2"/>
  <c r="N50" i="4" l="1"/>
  <c r="N49" i="4"/>
  <c r="N48" i="4"/>
  <c r="N47" i="4"/>
  <c r="N46" i="4"/>
  <c r="E15" i="2"/>
  <c r="C64" i="15" l="1"/>
  <c r="D64" i="15"/>
  <c r="E64" i="15"/>
  <c r="F64" i="15"/>
  <c r="G64" i="15"/>
  <c r="H64" i="15"/>
  <c r="I64" i="15"/>
  <c r="J64" i="15"/>
  <c r="J15" i="2"/>
  <c r="K15" i="2"/>
  <c r="L15" i="2"/>
  <c r="L16" i="2" s="1"/>
  <c r="M15" i="2"/>
  <c r="M16" i="2" s="1"/>
  <c r="O15" i="2"/>
  <c r="F16" i="2" l="1"/>
  <c r="F69" i="2" s="1"/>
  <c r="N4" i="17"/>
  <c r="P35" i="2"/>
  <c r="R35" i="2" s="1"/>
  <c r="E16" i="2" l="1"/>
  <c r="H29" i="2" l="1"/>
  <c r="I29" i="2"/>
  <c r="J29" i="2"/>
  <c r="K29" i="2"/>
  <c r="L29" i="2"/>
  <c r="M29" i="2"/>
  <c r="N29" i="2"/>
  <c r="O29" i="2"/>
  <c r="P5" i="2" l="1"/>
  <c r="C37" i="2" l="1"/>
  <c r="C35" i="2"/>
  <c r="B64" i="15" l="1"/>
  <c r="N28" i="14"/>
  <c r="P6" i="2"/>
  <c r="D29" i="2" l="1"/>
  <c r="N65" i="15"/>
  <c r="N49" i="2"/>
  <c r="N7" i="5"/>
  <c r="L10" i="5"/>
  <c r="N70" i="16"/>
  <c r="N69" i="16"/>
  <c r="N68" i="16"/>
  <c r="N67" i="16"/>
  <c r="N66" i="16"/>
  <c r="N19" i="2"/>
  <c r="N40" i="17"/>
  <c r="N39" i="17"/>
  <c r="N38" i="17"/>
  <c r="N43" i="17"/>
  <c r="N42" i="17"/>
  <c r="N41" i="17"/>
  <c r="N44" i="17"/>
  <c r="N45" i="17"/>
  <c r="N46" i="17"/>
  <c r="N63" i="16"/>
  <c r="N64" i="16"/>
  <c r="N65" i="16"/>
  <c r="N71" i="16"/>
  <c r="N72" i="16"/>
  <c r="N73" i="16"/>
  <c r="N74" i="16"/>
  <c r="N54" i="15"/>
  <c r="N55" i="15"/>
  <c r="N56" i="15"/>
  <c r="N57" i="15"/>
  <c r="N58" i="15"/>
  <c r="N59" i="15"/>
  <c r="N60" i="15"/>
  <c r="N61" i="15"/>
  <c r="N7" i="6"/>
  <c r="N59" i="16" l="1"/>
  <c r="N60" i="16"/>
  <c r="N61" i="16"/>
  <c r="N62" i="16"/>
  <c r="P41" i="2"/>
  <c r="N56" i="16" l="1"/>
  <c r="N57" i="16"/>
  <c r="N58" i="16"/>
  <c r="N35" i="17"/>
  <c r="N36" i="17"/>
  <c r="N37" i="17"/>
  <c r="N54" i="19"/>
  <c r="N55" i="19"/>
  <c r="N56" i="19"/>
  <c r="N57" i="19"/>
  <c r="N58" i="19"/>
  <c r="N59" i="19"/>
  <c r="M49" i="2"/>
  <c r="N13" i="20" l="1"/>
  <c r="N14" i="20"/>
  <c r="N15" i="20"/>
  <c r="N53" i="19" l="1"/>
  <c r="N60" i="19"/>
  <c r="N47" i="19"/>
  <c r="N48" i="19"/>
  <c r="N49" i="19"/>
  <c r="N50" i="19"/>
  <c r="N51" i="19"/>
  <c r="N52" i="19"/>
  <c r="N61" i="19"/>
  <c r="P10" i="2"/>
  <c r="P11" i="2"/>
  <c r="P12" i="2"/>
  <c r="L49" i="2"/>
  <c r="N30" i="17"/>
  <c r="N31" i="17"/>
  <c r="N32" i="17"/>
  <c r="N33" i="17"/>
  <c r="N34" i="17"/>
  <c r="N48" i="15" l="1"/>
  <c r="N49" i="15"/>
  <c r="N50" i="15"/>
  <c r="N51" i="15"/>
  <c r="N52" i="15"/>
  <c r="N53" i="15"/>
  <c r="N50" i="16"/>
  <c r="N51" i="16"/>
  <c r="N52" i="16"/>
  <c r="N53" i="16"/>
  <c r="N54" i="16"/>
  <c r="N55" i="16"/>
  <c r="N75" i="16"/>
  <c r="K49" i="2"/>
  <c r="H62" i="19" l="1"/>
  <c r="H77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40" i="4"/>
  <c r="N41" i="4"/>
  <c r="N42" i="4"/>
  <c r="N43" i="4"/>
  <c r="N44" i="4"/>
  <c r="N45" i="4"/>
  <c r="N52" i="4"/>
  <c r="N53" i="4"/>
  <c r="N54" i="4"/>
  <c r="N55" i="4"/>
  <c r="N56" i="4"/>
  <c r="N57" i="4"/>
  <c r="F11" i="6" l="1"/>
  <c r="J49" i="2" l="1"/>
  <c r="N58" i="4" l="1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7" i="4"/>
  <c r="N26" i="2" l="1"/>
  <c r="N9" i="12"/>
  <c r="I10" i="12"/>
  <c r="K26" i="2" s="1"/>
  <c r="J10" i="12"/>
  <c r="L26" i="2" s="1"/>
  <c r="M26" i="2"/>
  <c r="M10" i="12"/>
  <c r="O26" i="2" s="1"/>
  <c r="P9" i="2"/>
  <c r="N10" i="12" l="1"/>
  <c r="N46" i="15" l="1"/>
  <c r="N47" i="15"/>
  <c r="N62" i="15"/>
  <c r="N39" i="15"/>
  <c r="N40" i="15"/>
  <c r="N41" i="15"/>
  <c r="N42" i="15"/>
  <c r="N43" i="15"/>
  <c r="N44" i="15"/>
  <c r="G11" i="6"/>
  <c r="H11" i="6"/>
  <c r="I11" i="6"/>
  <c r="J11" i="6"/>
  <c r="I49" i="2"/>
  <c r="N37" i="15"/>
  <c r="N38" i="15"/>
  <c r="N45" i="15"/>
  <c r="N63" i="15"/>
  <c r="I16" i="2"/>
  <c r="N34" i="15"/>
  <c r="N35" i="15"/>
  <c r="N36" i="15"/>
  <c r="N29" i="16"/>
  <c r="N30" i="16"/>
  <c r="N31" i="16"/>
  <c r="N32" i="16"/>
  <c r="N33" i="15" l="1"/>
  <c r="N24" i="16"/>
  <c r="N25" i="16"/>
  <c r="N26" i="16"/>
  <c r="N27" i="16"/>
  <c r="N28" i="16"/>
  <c r="N32" i="15"/>
  <c r="D5" i="8" l="1"/>
  <c r="F23" i="2" s="1"/>
  <c r="E5" i="8"/>
  <c r="F5" i="8"/>
  <c r="G5" i="8"/>
  <c r="H5" i="8"/>
  <c r="I5" i="8"/>
  <c r="J5" i="8"/>
  <c r="K5" i="8"/>
  <c r="L5" i="8"/>
  <c r="N28" i="15"/>
  <c r="N29" i="15"/>
  <c r="N30" i="15"/>
  <c r="N31" i="15"/>
  <c r="N23" i="15"/>
  <c r="N22" i="15"/>
  <c r="N24" i="15"/>
  <c r="N25" i="15"/>
  <c r="N26" i="15"/>
  <c r="N27" i="15"/>
  <c r="N8" i="20"/>
  <c r="N7" i="20" l="1"/>
  <c r="N6" i="20"/>
  <c r="N5" i="20"/>
  <c r="N4" i="20"/>
  <c r="D6" i="9" l="1"/>
  <c r="E6" i="9"/>
  <c r="F6" i="9"/>
  <c r="G6" i="9"/>
  <c r="H6" i="9"/>
  <c r="I6" i="9"/>
  <c r="J6" i="9"/>
  <c r="K6" i="9"/>
  <c r="M6" i="9"/>
  <c r="N21" i="15"/>
  <c r="N7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47" i="17"/>
  <c r="N3" i="17"/>
  <c r="F31" i="2"/>
  <c r="F29" i="2"/>
  <c r="N6" i="17" l="1"/>
  <c r="N11" i="15"/>
  <c r="N8" i="17" l="1"/>
  <c r="N7" i="19"/>
  <c r="N8" i="19"/>
  <c r="N9" i="19"/>
  <c r="N10" i="19"/>
  <c r="N11" i="19"/>
  <c r="N12" i="19"/>
  <c r="N13" i="19"/>
  <c r="P44" i="2" l="1"/>
  <c r="R44" i="2" s="1"/>
  <c r="C44" i="2"/>
  <c r="C45" i="2"/>
  <c r="D55" i="20"/>
  <c r="F38" i="2" s="1"/>
  <c r="E55" i="20"/>
  <c r="G38" i="2" s="1"/>
  <c r="F55" i="20"/>
  <c r="G55" i="20"/>
  <c r="I38" i="2" s="1"/>
  <c r="H55" i="20"/>
  <c r="J38" i="2" s="1"/>
  <c r="I55" i="20"/>
  <c r="K38" i="2" s="1"/>
  <c r="J55" i="20"/>
  <c r="L38" i="2" s="1"/>
  <c r="K55" i="20"/>
  <c r="M38" i="2" s="1"/>
  <c r="L55" i="20"/>
  <c r="M55" i="20"/>
  <c r="O38" i="2" s="1"/>
  <c r="D62" i="19"/>
  <c r="F32" i="2" s="1"/>
  <c r="E62" i="19"/>
  <c r="F62" i="19"/>
  <c r="H32" i="2" s="1"/>
  <c r="G62" i="19"/>
  <c r="I32" i="2" s="1"/>
  <c r="J32" i="2"/>
  <c r="I62" i="19"/>
  <c r="K32" i="2" s="1"/>
  <c r="J62" i="19"/>
  <c r="L32" i="2" s="1"/>
  <c r="K62" i="19"/>
  <c r="M32" i="2" s="1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H31" i="2"/>
  <c r="I31" i="2"/>
  <c r="J31" i="2"/>
  <c r="K31" i="2"/>
  <c r="L31" i="2"/>
  <c r="D77" i="16"/>
  <c r="F30" i="2" s="1"/>
  <c r="E77" i="16"/>
  <c r="F77" i="16"/>
  <c r="H30" i="2" s="1"/>
  <c r="G77" i="16"/>
  <c r="I30" i="2" s="1"/>
  <c r="J30" i="2"/>
  <c r="I77" i="16"/>
  <c r="K30" i="2" s="1"/>
  <c r="N20" i="2"/>
  <c r="I21" i="2"/>
  <c r="J21" i="2"/>
  <c r="K21" i="2"/>
  <c r="L21" i="2"/>
  <c r="M21" i="2"/>
  <c r="F24" i="2"/>
  <c r="J16" i="2"/>
  <c r="K16" i="2"/>
  <c r="N16" i="2"/>
  <c r="O16" i="2"/>
  <c r="D6" i="7"/>
  <c r="F22" i="2" s="1"/>
  <c r="E6" i="7"/>
  <c r="F6" i="7"/>
  <c r="G6" i="7"/>
  <c r="I22" i="2" s="1"/>
  <c r="H6" i="7"/>
  <c r="J22" i="2" s="1"/>
  <c r="I6" i="7"/>
  <c r="K22" i="2" s="1"/>
  <c r="J6" i="7"/>
  <c r="L22" i="2" s="1"/>
  <c r="M22" i="2"/>
  <c r="N4" i="5"/>
  <c r="N5" i="5"/>
  <c r="N6" i="5"/>
  <c r="N3" i="5"/>
  <c r="M10" i="5"/>
  <c r="O20" i="2" s="1"/>
  <c r="K10" i="5"/>
  <c r="M20" i="2" s="1"/>
  <c r="J10" i="5"/>
  <c r="L20" i="2" s="1"/>
  <c r="I10" i="5"/>
  <c r="K20" i="2" s="1"/>
  <c r="K19" i="2"/>
  <c r="H149" i="4"/>
  <c r="J19" i="2" s="1"/>
  <c r="M19" i="2"/>
  <c r="L19" i="2"/>
  <c r="N19" i="4"/>
  <c r="N20" i="4"/>
  <c r="N21" i="4"/>
  <c r="N22" i="4"/>
  <c r="N23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10" i="5" l="1"/>
  <c r="D15" i="2" l="1"/>
  <c r="N3" i="20"/>
  <c r="B62" i="19"/>
  <c r="N10" i="15"/>
  <c r="N12" i="15"/>
  <c r="N13" i="15"/>
  <c r="N14" i="15"/>
  <c r="N15" i="15"/>
  <c r="N16" i="15"/>
  <c r="N17" i="15"/>
  <c r="N9" i="15"/>
  <c r="N3" i="15"/>
  <c r="H16" i="2" l="1"/>
  <c r="N9" i="17" l="1"/>
  <c r="N48" i="17" s="1"/>
  <c r="D16" i="2"/>
  <c r="C62" i="19"/>
  <c r="L62" i="19"/>
  <c r="N32" i="2" s="1"/>
  <c r="M62" i="19"/>
  <c r="O32" i="2" s="1"/>
  <c r="N5" i="15"/>
  <c r="N6" i="14"/>
  <c r="N7" i="14"/>
  <c r="N8" i="14"/>
  <c r="N9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32" i="14"/>
  <c r="N43" i="14"/>
  <c r="B55" i="20"/>
  <c r="C55" i="20"/>
  <c r="E38" i="2" s="1"/>
  <c r="P16" i="2" l="1"/>
  <c r="N56" i="20"/>
  <c r="E32" i="2"/>
  <c r="N63" i="19"/>
  <c r="N50" i="14"/>
  <c r="N13" i="4"/>
  <c r="N14" i="4"/>
  <c r="N15" i="4"/>
  <c r="N16" i="4"/>
  <c r="N17" i="4"/>
  <c r="N18" i="4"/>
  <c r="C46" i="2" l="1"/>
  <c r="C47" i="2"/>
  <c r="C43" i="2"/>
  <c r="C41" i="2"/>
  <c r="C33" i="2"/>
  <c r="C32" i="2"/>
  <c r="Q32" i="2" s="1"/>
  <c r="C34" i="2"/>
  <c r="C36" i="2"/>
  <c r="C38" i="2"/>
  <c r="C23" i="2"/>
  <c r="Q23" i="2" s="1"/>
  <c r="C49" i="2" l="1"/>
  <c r="N4" i="19" l="1"/>
  <c r="N3" i="19"/>
  <c r="N41" i="19"/>
  <c r="N40" i="19"/>
  <c r="N6" i="19"/>
  <c r="N5" i="19"/>
  <c r="B11" i="6" l="1"/>
  <c r="C11" i="6"/>
  <c r="D11" i="6"/>
  <c r="F21" i="2" s="1"/>
  <c r="E11" i="6"/>
  <c r="N21" i="2"/>
  <c r="M11" i="6"/>
  <c r="O21" i="2" s="1"/>
  <c r="N12" i="6" l="1"/>
  <c r="E21" i="2"/>
  <c r="N12" i="4" l="1"/>
  <c r="N9" i="4"/>
  <c r="P46" i="2" l="1"/>
  <c r="R46" i="2" s="1"/>
  <c r="B49" i="2"/>
  <c r="N4" i="16"/>
  <c r="N5" i="16"/>
  <c r="N6" i="16"/>
  <c r="N7" i="16"/>
  <c r="N8" i="16"/>
  <c r="N9" i="16"/>
  <c r="N4" i="7"/>
  <c r="N16" i="20"/>
  <c r="K31" i="1"/>
  <c r="D31" i="2"/>
  <c r="E31" i="2"/>
  <c r="M31" i="2"/>
  <c r="N31" i="2"/>
  <c r="O31" i="2"/>
  <c r="P36" i="2"/>
  <c r="R36" i="2" s="1"/>
  <c r="P43" i="2"/>
  <c r="R43" i="2" s="1"/>
  <c r="O22" i="2"/>
  <c r="N18" i="15"/>
  <c r="N19" i="15"/>
  <c r="N18" i="20"/>
  <c r="N20" i="15"/>
  <c r="N5" i="9"/>
  <c r="F149" i="4"/>
  <c r="M30" i="2"/>
  <c r="P34" i="2"/>
  <c r="R34" i="2" s="1"/>
  <c r="P8" i="2"/>
  <c r="C149" i="4"/>
  <c r="E19" i="2" s="1"/>
  <c r="C6" i="7"/>
  <c r="N7" i="15"/>
  <c r="N8" i="15"/>
  <c r="N3" i="6"/>
  <c r="D21" i="2"/>
  <c r="N6" i="4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7" i="20"/>
  <c r="N12" i="20"/>
  <c r="N11" i="20"/>
  <c r="N10" i="20"/>
  <c r="N9" i="20"/>
  <c r="B1" i="20"/>
  <c r="D32" i="2"/>
  <c r="N46" i="19"/>
  <c r="N45" i="19"/>
  <c r="N44" i="19"/>
  <c r="N43" i="19"/>
  <c r="N42" i="19"/>
  <c r="B1" i="19"/>
  <c r="D1" i="17"/>
  <c r="M77" i="16"/>
  <c r="O30" i="2" s="1"/>
  <c r="N30" i="2"/>
  <c r="J77" i="16"/>
  <c r="L30" i="2" s="1"/>
  <c r="B77" i="16"/>
  <c r="N76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3" i="16"/>
  <c r="B1" i="16"/>
  <c r="E29" i="2"/>
  <c r="N6" i="15"/>
  <c r="B1" i="15"/>
  <c r="D28" i="2"/>
  <c r="B1" i="14"/>
  <c r="H10" i="12"/>
  <c r="G10" i="12"/>
  <c r="I26" i="2" s="1"/>
  <c r="F10" i="12"/>
  <c r="E10" i="12"/>
  <c r="D10" i="12"/>
  <c r="F26" i="2" s="1"/>
  <c r="C10" i="12"/>
  <c r="E26" i="2" s="1"/>
  <c r="B10" i="12"/>
  <c r="K20" i="1"/>
  <c r="B1" i="12"/>
  <c r="N21" i="1"/>
  <c r="C6" i="9"/>
  <c r="B6" i="9"/>
  <c r="N4" i="9"/>
  <c r="N3" i="9"/>
  <c r="B1" i="9"/>
  <c r="M5" i="8"/>
  <c r="C5" i="8"/>
  <c r="E23" i="2" s="1"/>
  <c r="B5" i="8"/>
  <c r="N4" i="8"/>
  <c r="N3" i="8"/>
  <c r="B1" i="8"/>
  <c r="L6" i="7"/>
  <c r="N22" i="2" s="1"/>
  <c r="B6" i="7"/>
  <c r="B1" i="7"/>
  <c r="N6" i="6"/>
  <c r="N5" i="6"/>
  <c r="N4" i="6"/>
  <c r="B1" i="6"/>
  <c r="H10" i="5"/>
  <c r="J20" i="2" s="1"/>
  <c r="G10" i="5"/>
  <c r="I20" i="2" s="1"/>
  <c r="F10" i="5"/>
  <c r="E10" i="5"/>
  <c r="D10" i="5"/>
  <c r="F20" i="2" s="1"/>
  <c r="C10" i="5"/>
  <c r="E20" i="2" s="1"/>
  <c r="B10" i="5"/>
  <c r="O19" i="2"/>
  <c r="G149" i="4"/>
  <c r="I19" i="2" s="1"/>
  <c r="D149" i="4"/>
  <c r="F19" i="2" s="1"/>
  <c r="N10" i="4"/>
  <c r="N8" i="4"/>
  <c r="N7" i="4"/>
  <c r="N5" i="4"/>
  <c r="N4" i="4"/>
  <c r="N3" i="4"/>
  <c r="S33" i="3"/>
  <c r="R33" i="3"/>
  <c r="Q33" i="3"/>
  <c r="P33" i="3"/>
  <c r="O33" i="3"/>
  <c r="N33" i="3"/>
  <c r="M33" i="3"/>
  <c r="L33" i="3"/>
  <c r="K33" i="3"/>
  <c r="J33" i="3"/>
  <c r="I33" i="3"/>
  <c r="H33" i="3"/>
  <c r="T32" i="3"/>
  <c r="U32" i="3" s="1"/>
  <c r="G32" i="3"/>
  <c r="T31" i="3"/>
  <c r="G31" i="3"/>
  <c r="T30" i="3"/>
  <c r="G30" i="3"/>
  <c r="T29" i="3"/>
  <c r="G29" i="3"/>
  <c r="T28" i="3"/>
  <c r="G28" i="3"/>
  <c r="T27" i="3"/>
  <c r="G27" i="3"/>
  <c r="U27" i="3" s="1"/>
  <c r="T26" i="3"/>
  <c r="G26" i="3"/>
  <c r="T25" i="3"/>
  <c r="G25" i="3"/>
  <c r="T24" i="3"/>
  <c r="F24" i="3"/>
  <c r="F33" i="3" s="1"/>
  <c r="T23" i="3"/>
  <c r="G23" i="3"/>
  <c r="T22" i="3"/>
  <c r="G22" i="3"/>
  <c r="T21" i="3"/>
  <c r="G21" i="3"/>
  <c r="T20" i="3"/>
  <c r="G20" i="3"/>
  <c r="T19" i="3"/>
  <c r="G19" i="3"/>
  <c r="T18" i="3"/>
  <c r="G18" i="3"/>
  <c r="T17" i="3"/>
  <c r="G17" i="3"/>
  <c r="T16" i="3"/>
  <c r="G16" i="3"/>
  <c r="T15" i="3"/>
  <c r="G15" i="3"/>
  <c r="T14" i="3"/>
  <c r="G14" i="3"/>
  <c r="T13" i="3"/>
  <c r="G13" i="3"/>
  <c r="T12" i="3"/>
  <c r="G12" i="3"/>
  <c r="F10" i="3"/>
  <c r="H9" i="3"/>
  <c r="T9" i="3" s="1"/>
  <c r="T8" i="3"/>
  <c r="T7" i="3"/>
  <c r="T6" i="3"/>
  <c r="T5" i="3"/>
  <c r="T4" i="3"/>
  <c r="G4" i="3"/>
  <c r="G10" i="3" s="1"/>
  <c r="R41" i="2"/>
  <c r="C31" i="2"/>
  <c r="Q31" i="2" s="1"/>
  <c r="C30" i="2"/>
  <c r="Q30" i="2" s="1"/>
  <c r="C29" i="2"/>
  <c r="Q29" i="2" s="1"/>
  <c r="C28" i="2"/>
  <c r="Q28" i="2" s="1"/>
  <c r="C27" i="2"/>
  <c r="Q27" i="2" s="1"/>
  <c r="C26" i="2"/>
  <c r="Q26" i="2" s="1"/>
  <c r="C24" i="2"/>
  <c r="Q24" i="2" s="1"/>
  <c r="C22" i="2"/>
  <c r="Q22" i="2" s="1"/>
  <c r="C21" i="2"/>
  <c r="Q21" i="2" s="1"/>
  <c r="C20" i="2"/>
  <c r="Q20" i="2" s="1"/>
  <c r="C19" i="2"/>
  <c r="B16" i="2"/>
  <c r="B17" i="2" s="1"/>
  <c r="C8" i="2"/>
  <c r="Q8" i="2" s="1"/>
  <c r="P7" i="2"/>
  <c r="C7" i="2"/>
  <c r="Q7" i="2" s="1"/>
  <c r="C5" i="2"/>
  <c r="Q3" i="2"/>
  <c r="P3" i="2"/>
  <c r="T32" i="1"/>
  <c r="S32" i="1"/>
  <c r="R32" i="1"/>
  <c r="Q32" i="1"/>
  <c r="P32" i="1"/>
  <c r="O32" i="1"/>
  <c r="G31" i="1"/>
  <c r="V31" i="1" s="1"/>
  <c r="N30" i="1"/>
  <c r="M30" i="1"/>
  <c r="L30" i="1"/>
  <c r="K30" i="1"/>
  <c r="J30" i="1"/>
  <c r="I30" i="1"/>
  <c r="U30" i="1" s="1"/>
  <c r="G30" i="1"/>
  <c r="V30" i="1" s="1"/>
  <c r="G29" i="1"/>
  <c r="V29" i="1" s="1"/>
  <c r="L28" i="1"/>
  <c r="G28" i="1"/>
  <c r="V28" i="1" s="1"/>
  <c r="N27" i="1"/>
  <c r="M27" i="1"/>
  <c r="L27" i="1"/>
  <c r="K27" i="1"/>
  <c r="J27" i="1"/>
  <c r="I27" i="1"/>
  <c r="U27" i="1" s="1"/>
  <c r="G27" i="1"/>
  <c r="V27" i="1" s="1"/>
  <c r="G26" i="1"/>
  <c r="V26" i="1" s="1"/>
  <c r="N25" i="1"/>
  <c r="M25" i="1"/>
  <c r="L25" i="1"/>
  <c r="K25" i="1"/>
  <c r="J25" i="1"/>
  <c r="I25" i="1"/>
  <c r="U25" i="1" s="1"/>
  <c r="G25" i="1"/>
  <c r="V25" i="1" s="1"/>
  <c r="N24" i="1"/>
  <c r="M24" i="1"/>
  <c r="L24" i="1"/>
  <c r="K24" i="1"/>
  <c r="J24" i="1"/>
  <c r="I24" i="1"/>
  <c r="U24" i="1" s="1"/>
  <c r="F24" i="1"/>
  <c r="G24" i="1" s="1"/>
  <c r="V24" i="1" s="1"/>
  <c r="G23" i="1"/>
  <c r="V23" i="1" s="1"/>
  <c r="N22" i="1"/>
  <c r="M22" i="1"/>
  <c r="G22" i="1"/>
  <c r="V22" i="1" s="1"/>
  <c r="L21" i="1"/>
  <c r="I21" i="1"/>
  <c r="G21" i="1"/>
  <c r="V21" i="1" s="1"/>
  <c r="G20" i="1"/>
  <c r="G19" i="1"/>
  <c r="V19" i="1" s="1"/>
  <c r="M18" i="1"/>
  <c r="L18" i="1"/>
  <c r="G18" i="1"/>
  <c r="V18" i="1" s="1"/>
  <c r="M17" i="1"/>
  <c r="L17" i="1"/>
  <c r="K17" i="1"/>
  <c r="J17" i="1"/>
  <c r="I17" i="1"/>
  <c r="G17" i="1"/>
  <c r="V17" i="1" s="1"/>
  <c r="G16" i="1"/>
  <c r="V16" i="1" s="1"/>
  <c r="N15" i="1"/>
  <c r="M15" i="1"/>
  <c r="L15" i="1"/>
  <c r="K15" i="1"/>
  <c r="J15" i="1"/>
  <c r="I15" i="1"/>
  <c r="U15" i="1" s="1"/>
  <c r="G15" i="1"/>
  <c r="V15" i="1" s="1"/>
  <c r="N14" i="1"/>
  <c r="L14" i="1"/>
  <c r="K14" i="1"/>
  <c r="G14" i="1"/>
  <c r="V14" i="1" s="1"/>
  <c r="L13" i="1"/>
  <c r="K13" i="1"/>
  <c r="J13" i="1"/>
  <c r="I13" i="1"/>
  <c r="G13" i="1"/>
  <c r="V13" i="1" s="1"/>
  <c r="N12" i="1"/>
  <c r="M12" i="1"/>
  <c r="L12" i="1"/>
  <c r="K12" i="1"/>
  <c r="J12" i="1"/>
  <c r="I12" i="1"/>
  <c r="G12" i="1"/>
  <c r="V12" i="1" s="1"/>
  <c r="N10" i="1"/>
  <c r="M10" i="1"/>
  <c r="L10" i="1"/>
  <c r="K10" i="1"/>
  <c r="J10" i="1"/>
  <c r="H10" i="1"/>
  <c r="F10" i="1"/>
  <c r="V9" i="1"/>
  <c r="I9" i="1"/>
  <c r="U9" i="1" s="1"/>
  <c r="W9" i="1" s="1"/>
  <c r="U8" i="1"/>
  <c r="I7" i="1"/>
  <c r="U7" i="1" s="1"/>
  <c r="G7" i="1"/>
  <c r="V7" i="1" s="1"/>
  <c r="U6" i="1"/>
  <c r="U5" i="1"/>
  <c r="G5" i="1"/>
  <c r="V5" i="1" s="1"/>
  <c r="L20" i="1"/>
  <c r="U22" i="3"/>
  <c r="H10" i="3"/>
  <c r="N3" i="7"/>
  <c r="M21" i="1"/>
  <c r="J22" i="1"/>
  <c r="K21" i="1"/>
  <c r="N11" i="4"/>
  <c r="N11" i="6" l="1"/>
  <c r="D30" i="2"/>
  <c r="D26" i="2"/>
  <c r="N11" i="12"/>
  <c r="D24" i="2"/>
  <c r="N7" i="9"/>
  <c r="D23" i="2"/>
  <c r="N6" i="8"/>
  <c r="D22" i="2"/>
  <c r="N7" i="7"/>
  <c r="N13" i="1"/>
  <c r="N11" i="5"/>
  <c r="N149" i="4"/>
  <c r="N150" i="4"/>
  <c r="Q5" i="2"/>
  <c r="Q16" i="2" s="1"/>
  <c r="C16" i="2"/>
  <c r="U13" i="3"/>
  <c r="U19" i="3"/>
  <c r="W24" i="1"/>
  <c r="U26" i="3"/>
  <c r="N18" i="1"/>
  <c r="G24" i="3"/>
  <c r="U24" i="3" s="1"/>
  <c r="G32" i="1"/>
  <c r="V32" i="1" s="1"/>
  <c r="U20" i="3"/>
  <c r="U28" i="3"/>
  <c r="T33" i="3"/>
  <c r="U15" i="3"/>
  <c r="U21" i="3"/>
  <c r="U31" i="3"/>
  <c r="O4" i="2"/>
  <c r="N4" i="2"/>
  <c r="M4" i="2"/>
  <c r="L4" i="2"/>
  <c r="K4" i="2"/>
  <c r="J4" i="2"/>
  <c r="I4" i="2"/>
  <c r="H4" i="2"/>
  <c r="G4" i="2"/>
  <c r="F4" i="2"/>
  <c r="J26" i="2"/>
  <c r="J39" i="2" s="1"/>
  <c r="J51" i="2" s="1"/>
  <c r="J70" i="2" s="1"/>
  <c r="N12" i="12"/>
  <c r="H39" i="2"/>
  <c r="G39" i="2"/>
  <c r="W25" i="1"/>
  <c r="F32" i="1"/>
  <c r="I10" i="1"/>
  <c r="U10" i="1" s="1"/>
  <c r="V20" i="1"/>
  <c r="W30" i="1"/>
  <c r="D4" i="2"/>
  <c r="E4" i="2"/>
  <c r="U14" i="3"/>
  <c r="U16" i="3"/>
  <c r="U18" i="3"/>
  <c r="U23" i="3"/>
  <c r="U29" i="3"/>
  <c r="N5" i="8"/>
  <c r="N7" i="8" s="1"/>
  <c r="N20" i="1"/>
  <c r="P23" i="2"/>
  <c r="R23" i="2" s="1"/>
  <c r="U12" i="3"/>
  <c r="W27" i="1"/>
  <c r="U17" i="3"/>
  <c r="L39" i="2"/>
  <c r="E24" i="2"/>
  <c r="M39" i="2"/>
  <c r="M51" i="2" s="1"/>
  <c r="M70" i="2" s="1"/>
  <c r="F39" i="2"/>
  <c r="I39" i="2"/>
  <c r="I51" i="2" s="1"/>
  <c r="I70" i="2" s="1"/>
  <c r="D20" i="2"/>
  <c r="N12" i="5"/>
  <c r="E22" i="2"/>
  <c r="O39" i="2"/>
  <c r="R7" i="2"/>
  <c r="R8" i="2"/>
  <c r="D19" i="2"/>
  <c r="N17" i="1"/>
  <c r="N16" i="1"/>
  <c r="Q19" i="2"/>
  <c r="Q39" i="2" s="1"/>
  <c r="Q51" i="2" s="1"/>
  <c r="C39" i="2"/>
  <c r="C51" i="2" s="1"/>
  <c r="N55" i="20"/>
  <c r="P38" i="2" s="1"/>
  <c r="R38" i="2" s="1"/>
  <c r="K28" i="1"/>
  <c r="B39" i="2"/>
  <c r="B51" i="2" s="1"/>
  <c r="N19" i="1"/>
  <c r="J28" i="1"/>
  <c r="L31" i="1"/>
  <c r="M31" i="1"/>
  <c r="I28" i="1"/>
  <c r="R16" i="2"/>
  <c r="M13" i="1"/>
  <c r="L26" i="1"/>
  <c r="M28" i="1"/>
  <c r="N26" i="1"/>
  <c r="L23" i="1"/>
  <c r="K26" i="1"/>
  <c r="K18" i="1"/>
  <c r="K32" i="1"/>
  <c r="M23" i="1"/>
  <c r="I23" i="1"/>
  <c r="N31" i="1"/>
  <c r="K22" i="1"/>
  <c r="W5" i="1"/>
  <c r="G10" i="1"/>
  <c r="V10" i="1" s="1"/>
  <c r="W15" i="1"/>
  <c r="T10" i="3"/>
  <c r="W7" i="1"/>
  <c r="J23" i="1"/>
  <c r="K19" i="1"/>
  <c r="I20" i="1"/>
  <c r="I22" i="1"/>
  <c r="M26" i="1"/>
  <c r="K29" i="1"/>
  <c r="M29" i="1"/>
  <c r="J19" i="1"/>
  <c r="J31" i="1"/>
  <c r="J14" i="1"/>
  <c r="J32" i="1" s="1"/>
  <c r="I19" i="1"/>
  <c r="I14" i="1"/>
  <c r="I32" i="1" s="1"/>
  <c r="I16" i="1"/>
  <c r="H49" i="2"/>
  <c r="O49" i="2"/>
  <c r="G49" i="2"/>
  <c r="E49" i="2"/>
  <c r="D49" i="2"/>
  <c r="M19" i="1"/>
  <c r="L19" i="1"/>
  <c r="F49" i="2"/>
  <c r="I31" i="1"/>
  <c r="N29" i="1"/>
  <c r="I29" i="1"/>
  <c r="N28" i="1"/>
  <c r="N23" i="1"/>
  <c r="K23" i="1"/>
  <c r="L22" i="1"/>
  <c r="J20" i="1"/>
  <c r="M20" i="1"/>
  <c r="J21" i="1"/>
  <c r="U21" i="1" s="1"/>
  <c r="W21" i="1" s="1"/>
  <c r="U17" i="1"/>
  <c r="W17" i="1" s="1"/>
  <c r="J16" i="1"/>
  <c r="K16" i="1"/>
  <c r="L16" i="1"/>
  <c r="M14" i="1"/>
  <c r="L32" i="1"/>
  <c r="I26" i="1"/>
  <c r="N6" i="9"/>
  <c r="U13" i="1"/>
  <c r="W13" i="1" s="1"/>
  <c r="U12" i="1"/>
  <c r="L29" i="1"/>
  <c r="P21" i="2"/>
  <c r="R21" i="2" s="1"/>
  <c r="J18" i="1"/>
  <c r="I18" i="1"/>
  <c r="M16" i="1"/>
  <c r="P27" i="2"/>
  <c r="R27" i="2" s="1"/>
  <c r="N62" i="19"/>
  <c r="N10" i="16"/>
  <c r="N77" i="16" s="1"/>
  <c r="C77" i="16"/>
  <c r="E30" i="2" s="1"/>
  <c r="E39" i="2" s="1"/>
  <c r="P31" i="2"/>
  <c r="R31" i="2" s="1"/>
  <c r="P47" i="2"/>
  <c r="R47" i="2" s="1"/>
  <c r="N6" i="7"/>
  <c r="N8" i="7" s="1"/>
  <c r="U25" i="3"/>
  <c r="U30" i="3"/>
  <c r="N4" i="15"/>
  <c r="N64" i="15" s="1"/>
  <c r="P45" i="2"/>
  <c r="R45" i="2" s="1"/>
  <c r="R49" i="2" s="1"/>
  <c r="P33" i="2"/>
  <c r="R33" i="2" s="1"/>
  <c r="P22" i="2" l="1"/>
  <c r="R22" i="2" s="1"/>
  <c r="N78" i="16"/>
  <c r="W10" i="1"/>
  <c r="G51" i="2"/>
  <c r="G70" i="2" s="1"/>
  <c r="L51" i="2"/>
  <c r="L70" i="2" s="1"/>
  <c r="G33" i="3"/>
  <c r="U33" i="3"/>
  <c r="P26" i="2"/>
  <c r="R26" i="2" s="1"/>
  <c r="P20" i="2"/>
  <c r="R20" i="2" s="1"/>
  <c r="N39" i="2"/>
  <c r="H51" i="2"/>
  <c r="H70" i="2" s="1"/>
  <c r="D39" i="2"/>
  <c r="D51" i="2" s="1"/>
  <c r="N8" i="9"/>
  <c r="F51" i="2"/>
  <c r="F71" i="2" s="1"/>
  <c r="E51" i="2"/>
  <c r="O51" i="2"/>
  <c r="O70" i="2" s="1"/>
  <c r="R5" i="2"/>
  <c r="K39" i="2"/>
  <c r="K51" i="2" s="1"/>
  <c r="K70" i="2" s="1"/>
  <c r="N57" i="20"/>
  <c r="P29" i="2"/>
  <c r="R29" i="2" s="1"/>
  <c r="P28" i="2"/>
  <c r="R28" i="2" s="1"/>
  <c r="U22" i="1"/>
  <c r="W22" i="1" s="1"/>
  <c r="P49" i="2"/>
  <c r="U28" i="1"/>
  <c r="W28" i="1" s="1"/>
  <c r="U23" i="1"/>
  <c r="W23" i="1" s="1"/>
  <c r="U31" i="1"/>
  <c r="W31" i="1" s="1"/>
  <c r="U20" i="1"/>
  <c r="W20" i="1" s="1"/>
  <c r="M32" i="1"/>
  <c r="N64" i="19"/>
  <c r="U14" i="1"/>
  <c r="W14" i="1" s="1"/>
  <c r="U19" i="1"/>
  <c r="W19" i="1" s="1"/>
  <c r="N79" i="16"/>
  <c r="N32" i="1"/>
  <c r="U18" i="1"/>
  <c r="W18" i="1" s="1"/>
  <c r="U16" i="1"/>
  <c r="W16" i="1" s="1"/>
  <c r="W12" i="1"/>
  <c r="P30" i="2"/>
  <c r="R30" i="2" s="1"/>
  <c r="J26" i="1"/>
  <c r="U26" i="1" s="1"/>
  <c r="W26" i="1" s="1"/>
  <c r="P32" i="2"/>
  <c r="R32" i="2" s="1"/>
  <c r="J29" i="1"/>
  <c r="U29" i="1" s="1"/>
  <c r="W29" i="1" s="1"/>
  <c r="P19" i="2"/>
  <c r="R19" i="2" s="1"/>
  <c r="P24" i="2"/>
  <c r="R24" i="2" s="1"/>
  <c r="E71" i="2" l="1"/>
  <c r="E70" i="2"/>
  <c r="D70" i="2"/>
  <c r="D71" i="2"/>
  <c r="N51" i="2"/>
  <c r="N70" i="2" s="1"/>
  <c r="F70" i="2"/>
  <c r="P39" i="2"/>
  <c r="P51" i="2" s="1"/>
  <c r="U32" i="1"/>
  <c r="W32" i="1"/>
  <c r="R39" i="2"/>
  <c r="R51" i="2" s="1"/>
</calcChain>
</file>

<file path=xl/sharedStrings.xml><?xml version="1.0" encoding="utf-8"?>
<sst xmlns="http://schemas.openxmlformats.org/spreadsheetml/2006/main" count="489" uniqueCount="240">
  <si>
    <t xml:space="preserve">Исполнение финансового плана ДНТ "КП "Согласие" за период с июня 2016 по май  2017 года </t>
  </si>
  <si>
    <t>Статьи поступления денежных средств</t>
  </si>
  <si>
    <t>Лимит на год</t>
  </si>
  <si>
    <t>Ост денег</t>
  </si>
  <si>
    <t>июнь</t>
  </si>
  <si>
    <t>июль</t>
  </si>
  <si>
    <t>август</t>
  </si>
  <si>
    <t>сентябрь</t>
  </si>
  <si>
    <t>октябрь</t>
  </si>
  <si>
    <t>ноябрь</t>
  </si>
  <si>
    <t>Итого за 6 мес.</t>
  </si>
  <si>
    <t>Бюджет          за 6 мес.</t>
  </si>
  <si>
    <t>Недобор(-) Перевыполн.(+)</t>
  </si>
  <si>
    <t xml:space="preserve"> 01.06.16</t>
  </si>
  <si>
    <t>декабрь</t>
  </si>
  <si>
    <t>январь</t>
  </si>
  <si>
    <t>февраль</t>
  </si>
  <si>
    <t>март</t>
  </si>
  <si>
    <t>апрель</t>
  </si>
  <si>
    <t>май</t>
  </si>
  <si>
    <t>Поступл. ден ср. от сбора член. взнос.</t>
  </si>
  <si>
    <t>ЦФ вступит.  взнос новых членов</t>
  </si>
  <si>
    <t>ЦФ взнос на содерж. дор. (опл.въезда)</t>
  </si>
  <si>
    <t>Пени за несв. уплату член взн.+ штраф</t>
  </si>
  <si>
    <t>Коммерч деят. +договора на обслуж.</t>
  </si>
  <si>
    <t xml:space="preserve">      ИТОГО ВЗНОСЫ И ДОХОДЫ</t>
  </si>
  <si>
    <t>Статьи расходования денежных средств</t>
  </si>
  <si>
    <t>Экономия(+)    Перерасход(-)</t>
  </si>
  <si>
    <t>Общехозяйственные расходы</t>
  </si>
  <si>
    <t>Программное обеспечение</t>
  </si>
  <si>
    <t>Услуги связи</t>
  </si>
  <si>
    <t>Юридические услуги</t>
  </si>
  <si>
    <t>Заработная плата    (15 человек)</t>
  </si>
  <si>
    <t>Премиальный фонд</t>
  </si>
  <si>
    <t>Налог с ФОТ</t>
  </si>
  <si>
    <t>Приобрет. инструмент, инвент.,оборуд</t>
  </si>
  <si>
    <t>Вывоз мусора</t>
  </si>
  <si>
    <t>Содержание охраны</t>
  </si>
  <si>
    <t>Содержание газового оборудования</t>
  </si>
  <si>
    <t>Содержание сетей водоснабжения</t>
  </si>
  <si>
    <t>Содерж. сетей канализ. и ремонт ОС</t>
  </si>
  <si>
    <t>Содержание сетей электроснабжения</t>
  </si>
  <si>
    <t>Э/энергия на общие нужды</t>
  </si>
  <si>
    <t>Технические и коммерческие потери</t>
  </si>
  <si>
    <t>Содержание дорог и уборка территор.</t>
  </si>
  <si>
    <t>Благоустройство территории</t>
  </si>
  <si>
    <t>Оформление земель общего польз.</t>
  </si>
  <si>
    <t>Резервный фонд 5%</t>
  </si>
  <si>
    <t xml:space="preserve">     ИТОГО РАСХОДЫ</t>
  </si>
  <si>
    <t>КОММЕНТАРИИ к статьям с перерасходом:</t>
  </si>
  <si>
    <t>ВЫВОЗ МУСОРА:</t>
  </si>
  <si>
    <t>Перерасход в июле связан с уплатой налога на негативное возд. на окруж среду за 2 кв. в сумме 80610 руб. и запретом на вывоз мусора в лес</t>
  </si>
  <si>
    <t>Финансовый год:</t>
  </si>
  <si>
    <t>Руб.</t>
  </si>
  <si>
    <t>Лимит на месяц</t>
  </si>
  <si>
    <t>Остаток на начало периода</t>
  </si>
  <si>
    <t>Поступл. ден ср. от сбора ЧВ</t>
  </si>
  <si>
    <t>ИТОГО ВЗНОСЫ И ДОХОДЫ</t>
  </si>
  <si>
    <t>ИТОГО С ВХОДЯЩИМ ОСТАТКОМ</t>
  </si>
  <si>
    <t xml:space="preserve">Заработная плата </t>
  </si>
  <si>
    <t>Электроснабжение</t>
  </si>
  <si>
    <t xml:space="preserve"> </t>
  </si>
  <si>
    <t>Фонд поощрения ПП</t>
  </si>
  <si>
    <t>Социальн. налоги с Фонда поощр. ПП</t>
  </si>
  <si>
    <t>ИТОГО РАСХОДЫ НА СОДЕРЖАНИЕ ТСН:</t>
  </si>
  <si>
    <t>РАСХОДЫ НА РАЗВИТИЕ ТСН, в том числе:</t>
  </si>
  <si>
    <t>Ремонт водопровода</t>
  </si>
  <si>
    <t>Финансовый план ДНТ "КП"Согласие" на 2016-2017 гг</t>
  </si>
  <si>
    <t xml:space="preserve">Исполнение финансового плана за период с июня 2016 по май  2017 года </t>
  </si>
  <si>
    <t xml:space="preserve">  Статья поступления денежных средств</t>
  </si>
  <si>
    <t>Бюджет на 2016/2017 гг.Лимит на</t>
  </si>
  <si>
    <t xml:space="preserve">Месячный </t>
  </si>
  <si>
    <t>Фактически</t>
  </si>
  <si>
    <t xml:space="preserve">итого с </t>
  </si>
  <si>
    <t>бюджет</t>
  </si>
  <si>
    <t>Поступление денеж средств от сбора член взноса</t>
  </si>
  <si>
    <t>ЦФ вступительный  взнос новых членов</t>
  </si>
  <si>
    <t>ЦФ Взнос на содержание дорог (оплата въезда)</t>
  </si>
  <si>
    <t>ЦФ взнос на реконструкцию газопровода</t>
  </si>
  <si>
    <t>Пени за несвоевр уплату член взносов+ штраф</t>
  </si>
  <si>
    <t>Коммерч деятельн +договора на обслуживание</t>
  </si>
  <si>
    <t xml:space="preserve">      ИТОГО</t>
  </si>
  <si>
    <t xml:space="preserve">   Расходная часть финансового плана по статьям (использование член взносов)</t>
  </si>
  <si>
    <t>экономия</t>
  </si>
  <si>
    <t>Приобретение инструмент, инвентарь,оборуд</t>
  </si>
  <si>
    <t>Содержание сетей канализ. и рем.очист. сооруж.</t>
  </si>
  <si>
    <t>Резерв оборот ср-в на покрытие несвоеврем опл</t>
  </si>
  <si>
    <t>Содержание дорог и уборка территории</t>
  </si>
  <si>
    <t>Оформление земель общего пользования</t>
  </si>
  <si>
    <t xml:space="preserve"> ИТОГО РАСХОДЫ</t>
  </si>
  <si>
    <t>ИТОГО</t>
  </si>
  <si>
    <t>АУПС</t>
  </si>
  <si>
    <t>Личн. а/транспорт</t>
  </si>
  <si>
    <t xml:space="preserve">Обслуж банка </t>
  </si>
  <si>
    <t>Сайт</t>
  </si>
  <si>
    <t>СБИС отчетность</t>
  </si>
  <si>
    <t>Интернет</t>
  </si>
  <si>
    <t>МТС</t>
  </si>
  <si>
    <t>Мегафон</t>
  </si>
  <si>
    <t>Заработная плата</t>
  </si>
  <si>
    <t>Заработная плата, отпускные</t>
  </si>
  <si>
    <t>Выплата премий сотрудникам</t>
  </si>
  <si>
    <t>Налоги в   ПФР, ФСС ФФОМС</t>
  </si>
  <si>
    <t>Пени, штрафы</t>
  </si>
  <si>
    <t>Содержание сетей канализации</t>
  </si>
  <si>
    <t>Электроэнергия на общие нужды</t>
  </si>
  <si>
    <t>Возмещение затрат на эл.эн.</t>
  </si>
  <si>
    <t xml:space="preserve">Благоустройство территории </t>
  </si>
  <si>
    <t>Резервный фонд</t>
  </si>
  <si>
    <t>УСН</t>
  </si>
  <si>
    <t>Яндекс-диск</t>
  </si>
  <si>
    <t>перчатки</t>
  </si>
  <si>
    <t>Начальный взнос за подключение</t>
  </si>
  <si>
    <t>хоз.товары</t>
  </si>
  <si>
    <t>ОСТАТОК денежных средств на конец расчетного периода</t>
  </si>
  <si>
    <t>Возврат денежных средств с п/о</t>
  </si>
  <si>
    <t>Возврат денежных средств прочий</t>
  </si>
  <si>
    <t>Баланс платежной системы</t>
  </si>
  <si>
    <t>Поступл. оплаты за въезд, пропуска</t>
  </si>
  <si>
    <t>Содержание канализации</t>
  </si>
  <si>
    <t>Содержание спецавтотехники, автотранспорта</t>
  </si>
  <si>
    <t>Содержание спецавтотранспорта</t>
  </si>
  <si>
    <t>Поступление оплаты по коммерч. дог. , РСК, % по депозитам</t>
  </si>
  <si>
    <t>Пакеты</t>
  </si>
  <si>
    <t>Ростелеком</t>
  </si>
  <si>
    <t>ККТ</t>
  </si>
  <si>
    <t>ТЕРМИНАЛ</t>
  </si>
  <si>
    <t>на начало</t>
  </si>
  <si>
    <t>на конец</t>
  </si>
  <si>
    <t>71сч. п/отчет</t>
  </si>
  <si>
    <t>БАНК 51 сч.</t>
  </si>
  <si>
    <t>приход</t>
  </si>
  <si>
    <t>расход</t>
  </si>
  <si>
    <t>Фонд поощрения РК</t>
  </si>
  <si>
    <t>Социальн. налоги с Фонда поощр. РК</t>
  </si>
  <si>
    <t>Асфальтирование дорог, ямочный ремонт</t>
  </si>
  <si>
    <t>вода питьевая</t>
  </si>
  <si>
    <t>гос пошлина</t>
  </si>
  <si>
    <t>канц. Товары</t>
  </si>
  <si>
    <t>1С</t>
  </si>
  <si>
    <t>Гринсервис</t>
  </si>
  <si>
    <t>ПРОВЕРКА</t>
  </si>
  <si>
    <t>услуги нотариуса</t>
  </si>
  <si>
    <t>почтовые расходы</t>
  </si>
  <si>
    <t>бензин А-95</t>
  </si>
  <si>
    <t>остаток на р/с</t>
  </si>
  <si>
    <t>Компенсация С2</t>
  </si>
  <si>
    <t>Внутреннее перемещение ДС</t>
  </si>
  <si>
    <t>откачка МТК</t>
  </si>
  <si>
    <t>Рег. Оператор</t>
  </si>
  <si>
    <t>изготовление пропусков</t>
  </si>
  <si>
    <t>ДТ</t>
  </si>
  <si>
    <t>бензин А-92</t>
  </si>
  <si>
    <t>картридж д/принтера</t>
  </si>
  <si>
    <t>Депозит</t>
  </si>
  <si>
    <t>РЕЕСТРЫ СБ</t>
  </si>
  <si>
    <t>Водный налог</t>
  </si>
  <si>
    <t>экологическая отчетность</t>
  </si>
  <si>
    <t>диск</t>
  </si>
  <si>
    <t>футорка</t>
  </si>
  <si>
    <t>Видеонаблюдение</t>
  </si>
  <si>
    <t>Мосгаз, оплата за включение газа</t>
  </si>
  <si>
    <t>Оплата сайта</t>
  </si>
  <si>
    <t>СБИС</t>
  </si>
  <si>
    <t>лезвие</t>
  </si>
  <si>
    <t>Бензин А-92 для генератора</t>
  </si>
  <si>
    <t>Резервный фонд 6%</t>
  </si>
  <si>
    <t>Исполнение финансового плана ТСН "КП "Согласие" за ноябрь 2025 - октябрь 2026</t>
  </si>
  <si>
    <t>Бухгалтерские услуги</t>
  </si>
  <si>
    <t>Насос Grundfos SE на КНС 2шт</t>
  </si>
  <si>
    <t>Продление лицензии на ВЗУ</t>
  </si>
  <si>
    <t>Доработка водоподготовки на ВЗУ</t>
  </si>
  <si>
    <t>Оборудов. Скв.1</t>
  </si>
  <si>
    <t>Обследов. Скв.3</t>
  </si>
  <si>
    <t>Насос глубинный ЭЦВ8-40-90</t>
  </si>
  <si>
    <t>2025-2026гг.</t>
  </si>
  <si>
    <t>щебень</t>
  </si>
  <si>
    <t>бумага офисн</t>
  </si>
  <si>
    <t>календарь</t>
  </si>
  <si>
    <t>тесто от крыс</t>
  </si>
  <si>
    <t>пистолет для монт. Пены</t>
  </si>
  <si>
    <t>фумлента</t>
  </si>
  <si>
    <t>шуруп-саморез</t>
  </si>
  <si>
    <t>лента для уплотн. Резьбы</t>
  </si>
  <si>
    <t>нипель</t>
  </si>
  <si>
    <t>переходник латунный</t>
  </si>
  <si>
    <t>изолента синяя</t>
  </si>
  <si>
    <t>вилка бел/черн с ручкой</t>
  </si>
  <si>
    <t>ответвитель</t>
  </si>
  <si>
    <t>вилка угловая бел</t>
  </si>
  <si>
    <t>конвектор эл.</t>
  </si>
  <si>
    <t>пакет</t>
  </si>
  <si>
    <t>шиномонтаж</t>
  </si>
  <si>
    <t>светодиодная лампа</t>
  </si>
  <si>
    <t>кресло</t>
  </si>
  <si>
    <t>тряпки</t>
  </si>
  <si>
    <t>бумага самокл</t>
  </si>
  <si>
    <t>обогреватель масляный</t>
  </si>
  <si>
    <t>обогреватель масляный 7 секций</t>
  </si>
  <si>
    <t>засов для ворот</t>
  </si>
  <si>
    <t>наварная петля с подшипн</t>
  </si>
  <si>
    <t>войлок натур</t>
  </si>
  <si>
    <t>прожектор</t>
  </si>
  <si>
    <t xml:space="preserve">пистолет </t>
  </si>
  <si>
    <t>скобы для пистолета</t>
  </si>
  <si>
    <t>лопата снеговая</t>
  </si>
  <si>
    <t>мешок  для мусора</t>
  </si>
  <si>
    <t>Возврат излишне опл. денеж.ср-в при смене собств</t>
  </si>
  <si>
    <t>Устранение засора</t>
  </si>
  <si>
    <t>Аренда экскаватора-погрузчика</t>
  </si>
  <si>
    <t>Анализ воды</t>
  </si>
  <si>
    <t>Илосос</t>
  </si>
  <si>
    <t>щеточный диск</t>
  </si>
  <si>
    <t>ТО трактора</t>
  </si>
  <si>
    <t>кран, труба, тройник</t>
  </si>
  <si>
    <t>перчатки, хомуты, удлинители</t>
  </si>
  <si>
    <t>батарейка крона</t>
  </si>
  <si>
    <t>лампы светодиодные</t>
  </si>
  <si>
    <t>удлинители, умная розетка</t>
  </si>
  <si>
    <t>лампа светодиодная</t>
  </si>
  <si>
    <t>насадка на баллон, смазка</t>
  </si>
  <si>
    <t>тосол трактор МТЗ</t>
  </si>
  <si>
    <t>подрулевой переключатель</t>
  </si>
  <si>
    <t>срезные болты снегоуборщика</t>
  </si>
  <si>
    <t>ОАТИ</t>
  </si>
  <si>
    <t>саморезы</t>
  </si>
  <si>
    <t>профлист</t>
  </si>
  <si>
    <t>угол, прокладка</t>
  </si>
  <si>
    <t>лампа натриевая</t>
  </si>
  <si>
    <t>незамерзайка</t>
  </si>
  <si>
    <t>масло моторное</t>
  </si>
  <si>
    <t>удлинитель, саморезы</t>
  </si>
  <si>
    <t>сотовый телефон</t>
  </si>
  <si>
    <t>перчатки зеленые</t>
  </si>
  <si>
    <t>бумага туалетная</t>
  </si>
  <si>
    <t>мешки д/мусора, перчатки, удлинитель</t>
  </si>
  <si>
    <t>доставка</t>
  </si>
  <si>
    <t>полотенца бумажные</t>
  </si>
  <si>
    <t>коврик придверный</t>
  </si>
  <si>
    <t>Премия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</si>
</sst>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indexed="64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4"/>
      <color indexed="64"/>
      <name val="Arial"/>
      <family val="2"/>
      <charset val="204"/>
    </font>
    <font>
      <b/>
      <sz val="11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2"/>
      <color indexed="64"/>
      <name val="Calibri"/>
      <family val="2"/>
      <charset val="204"/>
    </font>
    <font>
      <b/>
      <i/>
      <sz val="14"/>
      <color indexed="64"/>
      <name val="Calibri"/>
      <family val="2"/>
      <charset val="204"/>
    </font>
    <font>
      <sz val="12"/>
      <color indexed="64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64"/>
      <name val="Calibri"/>
      <family val="2"/>
      <charset val="204"/>
    </font>
    <font>
      <sz val="11"/>
      <color indexed="64"/>
      <name val="Arial"/>
      <family val="2"/>
      <charset val="204"/>
    </font>
    <font>
      <b/>
      <i/>
      <sz val="10"/>
      <color indexed="64"/>
      <name val="Arial"/>
      <family val="2"/>
      <charset val="204"/>
    </font>
    <font>
      <b/>
      <i/>
      <sz val="10"/>
      <color indexed="64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i/>
      <sz val="12"/>
      <color indexed="64"/>
      <name val="Calibri"/>
      <family val="2"/>
      <charset val="204"/>
    </font>
    <font>
      <b/>
      <i/>
      <sz val="11"/>
      <color indexed="64"/>
      <name val="Calibri"/>
      <family val="2"/>
      <charset val="204"/>
    </font>
    <font>
      <i/>
      <sz val="11"/>
      <color indexed="64"/>
      <name val="Calibri"/>
      <family val="2"/>
      <charset val="204"/>
    </font>
    <font>
      <b/>
      <i/>
      <sz val="11"/>
      <color indexed="17"/>
      <name val="Calibri"/>
      <family val="2"/>
      <charset val="204"/>
    </font>
    <font>
      <b/>
      <sz val="10"/>
      <name val="Arial Cyr"/>
    </font>
    <font>
      <sz val="10"/>
      <color indexed="2"/>
      <name val="Arial Cyr"/>
    </font>
    <font>
      <b/>
      <sz val="14"/>
      <color indexed="64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color indexed="55"/>
      <name val="Calibri"/>
      <family val="2"/>
      <charset val="204"/>
    </font>
    <font>
      <sz val="12"/>
      <name val="Calibri"/>
      <family val="2"/>
      <charset val="204"/>
    </font>
    <font>
      <sz val="12"/>
      <color indexed="55"/>
      <name val="Calibri"/>
      <family val="2"/>
      <charset val="204"/>
    </font>
    <font>
      <sz val="12"/>
      <color theme="0" tint="-0.249977111117893"/>
      <name val="Calibri"/>
      <family val="2"/>
      <charset val="204"/>
    </font>
    <font>
      <b/>
      <sz val="12"/>
      <color indexed="64"/>
      <name val="Calibri"/>
      <family val="2"/>
      <charset val="204"/>
    </font>
    <font>
      <b/>
      <sz val="12"/>
      <color rgb="FFCC0099"/>
      <name val="Calibri"/>
      <family val="2"/>
      <charset val="204"/>
    </font>
    <font>
      <b/>
      <i/>
      <sz val="14"/>
      <color indexed="64"/>
      <name val="Calibri"/>
      <family val="2"/>
      <charset val="204"/>
    </font>
    <font>
      <b/>
      <sz val="11"/>
      <color indexed="64"/>
      <name val="Calibri"/>
      <family val="2"/>
      <charset val="204"/>
    </font>
    <font>
      <sz val="12"/>
      <color indexed="64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i/>
      <sz val="12"/>
      <color indexed="64"/>
      <name val="Calibri"/>
      <family val="2"/>
      <charset val="204"/>
    </font>
    <font>
      <b/>
      <u/>
      <sz val="12"/>
      <name val="Calibri"/>
      <family val="2"/>
      <charset val="204"/>
    </font>
    <font>
      <b/>
      <u val="singleAccounting"/>
      <sz val="12"/>
      <name val="Calibri"/>
      <family val="2"/>
      <charset val="204"/>
    </font>
    <font>
      <b/>
      <i/>
      <u/>
      <sz val="18"/>
      <color indexed="64"/>
      <name val="Calibri"/>
      <family val="2"/>
      <charset val="204"/>
    </font>
    <font>
      <b/>
      <sz val="12"/>
      <color theme="0" tint="-0.499984740745262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theme="0" tint="-0.34998626667073579"/>
      <name val="Calibri"/>
      <family val="2"/>
      <charset val="204"/>
    </font>
    <font>
      <sz val="11"/>
      <color theme="0" tint="-0.34998626667073579"/>
      <name val="Calibri"/>
      <family val="2"/>
      <charset val="204"/>
    </font>
    <font>
      <sz val="12"/>
      <color theme="0" tint="-0.34998626667073579"/>
      <name val="Calibri"/>
      <family val="2"/>
      <charset val="204"/>
    </font>
    <font>
      <b/>
      <sz val="12"/>
      <color theme="0" tint="-0.34998626667073579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45"/>
      </patternFill>
    </fill>
    <fill>
      <patternFill patternType="solid">
        <fgColor indexed="65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3"/>
        <bgColor indexed="3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43"/>
      </patternFill>
    </fill>
    <fill>
      <patternFill patternType="solid">
        <fgColor indexed="5"/>
        <bgColor indexed="5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43" fontId="13" fillId="0" borderId="0" applyFont="0" applyFill="0" applyBorder="0" applyProtection="0"/>
  </cellStyleXfs>
  <cellXfs count="459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14" fillId="0" borderId="3" xfId="0" applyFont="1" applyBorder="1" applyAlignment="1">
      <alignment horizontal="center" vertical="center"/>
    </xf>
    <xf numFmtId="0" fontId="0" fillId="3" borderId="3" xfId="0" applyFill="1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20" fillId="0" borderId="6" xfId="0" applyFont="1" applyBorder="1"/>
    <xf numFmtId="0" fontId="20" fillId="0" borderId="7" xfId="0" applyFont="1" applyBorder="1"/>
    <xf numFmtId="3" fontId="18" fillId="4" borderId="8" xfId="0" applyNumberFormat="1" applyFont="1" applyFill="1" applyBorder="1" applyAlignment="1">
      <alignment horizontal="center"/>
    </xf>
    <xf numFmtId="3" fontId="18" fillId="5" borderId="8" xfId="0" applyNumberFormat="1" applyFont="1" applyFill="1" applyBorder="1" applyAlignment="1">
      <alignment horizontal="center"/>
    </xf>
    <xf numFmtId="3" fontId="20" fillId="2" borderId="8" xfId="0" applyNumberFormat="1" applyFont="1" applyFill="1" applyBorder="1"/>
    <xf numFmtId="3" fontId="20" fillId="2" borderId="8" xfId="0" applyNumberFormat="1" applyFont="1" applyFill="1" applyBorder="1" applyAlignment="1">
      <alignment horizontal="center"/>
    </xf>
    <xf numFmtId="3" fontId="20" fillId="2" borderId="8" xfId="0" applyNumberFormat="1" applyFont="1" applyFill="1" applyBorder="1" applyAlignment="1">
      <alignment horizontal="center" vertical="center"/>
    </xf>
    <xf numFmtId="3" fontId="20" fillId="6" borderId="8" xfId="0" applyNumberFormat="1" applyFont="1" applyFill="1" applyBorder="1" applyAlignment="1">
      <alignment horizontal="center" vertical="center"/>
    </xf>
    <xf numFmtId="3" fontId="20" fillId="0" borderId="8" xfId="0" applyNumberFormat="1" applyFont="1" applyBorder="1"/>
    <xf numFmtId="3" fontId="21" fillId="3" borderId="8" xfId="0" applyNumberFormat="1" applyFont="1" applyFill="1" applyBorder="1"/>
    <xf numFmtId="3" fontId="18" fillId="0" borderId="8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3" fontId="18" fillId="7" borderId="8" xfId="0" applyNumberFormat="1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horizontal="center" vertical="center"/>
    </xf>
    <xf numFmtId="0" fontId="21" fillId="3" borderId="8" xfId="0" applyFont="1" applyFill="1" applyBorder="1"/>
    <xf numFmtId="0" fontId="18" fillId="7" borderId="9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1" fontId="18" fillId="5" borderId="8" xfId="0" applyNumberFormat="1" applyFont="1" applyFill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 vertical="center"/>
    </xf>
    <xf numFmtId="0" fontId="18" fillId="7" borderId="8" xfId="0" applyFont="1" applyFill="1" applyBorder="1" applyAlignment="1">
      <alignment horizontal="center"/>
    </xf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10" xfId="0" applyFont="1" applyBorder="1" applyAlignment="1">
      <alignment horizontal="center"/>
    </xf>
    <xf numFmtId="3" fontId="20" fillId="2" borderId="10" xfId="0" applyNumberFormat="1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2" borderId="10" xfId="0" applyFont="1" applyFill="1" applyBorder="1"/>
    <xf numFmtId="0" fontId="20" fillId="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3" fontId="20" fillId="0" borderId="10" xfId="0" applyNumberFormat="1" applyFont="1" applyBorder="1"/>
    <xf numFmtId="0" fontId="21" fillId="3" borderId="10" xfId="0" applyFont="1" applyFill="1" applyBorder="1"/>
    <xf numFmtId="3" fontId="18" fillId="0" borderId="10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3" fontId="18" fillId="7" borderId="10" xfId="0" applyNumberFormat="1" applyFont="1" applyFill="1" applyBorder="1" applyAlignment="1">
      <alignment horizontal="center"/>
    </xf>
    <xf numFmtId="3" fontId="18" fillId="4" borderId="5" xfId="0" applyNumberFormat="1" applyFont="1" applyFill="1" applyBorder="1" applyAlignment="1">
      <alignment horizontal="center"/>
    </xf>
    <xf numFmtId="3" fontId="18" fillId="5" borderId="5" xfId="0" applyNumberFormat="1" applyFont="1" applyFill="1" applyBorder="1" applyAlignment="1">
      <alignment horizontal="center"/>
    </xf>
    <xf numFmtId="3" fontId="18" fillId="0" borderId="5" xfId="0" applyNumberFormat="1" applyFont="1" applyBorder="1"/>
    <xf numFmtId="3" fontId="18" fillId="2" borderId="5" xfId="0" applyNumberFormat="1" applyFont="1" applyFill="1" applyBorder="1" applyAlignment="1">
      <alignment horizontal="center"/>
    </xf>
    <xf numFmtId="3" fontId="20" fillId="0" borderId="5" xfId="0" applyNumberFormat="1" applyFont="1" applyBorder="1"/>
    <xf numFmtId="3" fontId="21" fillId="3" borderId="5" xfId="0" applyNumberFormat="1" applyFont="1" applyFill="1" applyBorder="1"/>
    <xf numFmtId="3" fontId="18" fillId="0" borderId="5" xfId="0" applyNumberFormat="1" applyFont="1" applyBorder="1" applyAlignment="1">
      <alignment horizontal="center"/>
    </xf>
    <xf numFmtId="3" fontId="18" fillId="7" borderId="5" xfId="0" applyNumberFormat="1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0" fontId="18" fillId="0" borderId="7" xfId="0" applyFont="1" applyBorder="1" applyAlignment="1">
      <alignment horizontal="center" vertical="center"/>
    </xf>
    <xf numFmtId="0" fontId="22" fillId="3" borderId="7" xfId="0" applyFont="1" applyFill="1" applyBorder="1"/>
    <xf numFmtId="0" fontId="18" fillId="0" borderId="8" xfId="0" applyFont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18" fillId="8" borderId="1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3" fontId="20" fillId="9" borderId="8" xfId="0" applyNumberFormat="1" applyFont="1" applyFill="1" applyBorder="1" applyAlignment="1">
      <alignment horizontal="center"/>
    </xf>
    <xf numFmtId="3" fontId="18" fillId="8" borderId="8" xfId="0" applyNumberFormat="1" applyFont="1" applyFill="1" applyBorder="1" applyAlignment="1">
      <alignment horizontal="center"/>
    </xf>
    <xf numFmtId="0" fontId="20" fillId="0" borderId="5" xfId="0" applyFont="1" applyBorder="1"/>
    <xf numFmtId="3" fontId="20" fillId="9" borderId="5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2" xfId="0" applyBorder="1"/>
    <xf numFmtId="3" fontId="18" fillId="4" borderId="10" xfId="0" applyNumberFormat="1" applyFont="1" applyFill="1" applyBorder="1" applyAlignment="1">
      <alignment horizontal="center"/>
    </xf>
    <xf numFmtId="3" fontId="18" fillId="5" borderId="10" xfId="0" applyNumberFormat="1" applyFont="1" applyFill="1" applyBorder="1" applyAlignment="1">
      <alignment horizontal="center"/>
    </xf>
    <xf numFmtId="3" fontId="20" fillId="9" borderId="10" xfId="0" applyNumberFormat="1" applyFont="1" applyFill="1" applyBorder="1" applyAlignment="1">
      <alignment horizontal="center"/>
    </xf>
    <xf numFmtId="3" fontId="21" fillId="3" borderId="10" xfId="0" applyNumberFormat="1" applyFont="1" applyFill="1" applyBorder="1"/>
    <xf numFmtId="3" fontId="18" fillId="8" borderId="10" xfId="0" applyNumberFormat="1" applyFont="1" applyFill="1" applyBorder="1" applyAlignment="1">
      <alignment horizontal="center"/>
    </xf>
    <xf numFmtId="0" fontId="14" fillId="0" borderId="0" xfId="0" applyFont="1"/>
    <xf numFmtId="3" fontId="18" fillId="9" borderId="5" xfId="0" applyNumberFormat="1" applyFont="1" applyFill="1" applyBorder="1" applyAlignment="1">
      <alignment horizontal="center"/>
    </xf>
    <xf numFmtId="3" fontId="18" fillId="9" borderId="5" xfId="0" applyNumberFormat="1" applyFont="1" applyFill="1" applyBorder="1"/>
    <xf numFmtId="3" fontId="18" fillId="10" borderId="5" xfId="0" applyNumberFormat="1" applyFont="1" applyFill="1" applyBorder="1" applyAlignment="1">
      <alignment horizontal="center" vertical="center"/>
    </xf>
    <xf numFmtId="3" fontId="18" fillId="8" borderId="15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11" borderId="16" xfId="0" applyFont="1" applyFill="1" applyBorder="1"/>
    <xf numFmtId="0" fontId="24" fillId="11" borderId="17" xfId="0" applyFont="1" applyFill="1" applyBorder="1" applyAlignment="1">
      <alignment horizontal="center"/>
    </xf>
    <xf numFmtId="0" fontId="24" fillId="0" borderId="0" xfId="0" applyFont="1"/>
    <xf numFmtId="0" fontId="0" fillId="0" borderId="0" xfId="0" applyAlignment="1">
      <alignment wrapText="1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/>
    <xf numFmtId="0" fontId="14" fillId="0" borderId="16" xfId="0" applyFont="1" applyBorder="1"/>
    <xf numFmtId="0" fontId="14" fillId="0" borderId="7" xfId="0" applyFont="1" applyBorder="1"/>
    <xf numFmtId="0" fontId="0" fillId="0" borderId="16" xfId="0" applyBorder="1"/>
    <xf numFmtId="0" fontId="30" fillId="0" borderId="16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5" xfId="0" applyFont="1" applyBorder="1"/>
    <xf numFmtId="0" fontId="31" fillId="0" borderId="5" xfId="0" applyFont="1" applyBorder="1" applyAlignment="1">
      <alignment horizontal="center"/>
    </xf>
    <xf numFmtId="0" fontId="0" fillId="3" borderId="5" xfId="0" applyFill="1" applyBorder="1"/>
    <xf numFmtId="3" fontId="14" fillId="10" borderId="8" xfId="0" applyNumberFormat="1" applyFont="1" applyFill="1" applyBorder="1"/>
    <xf numFmtId="3" fontId="0" fillId="10" borderId="8" xfId="0" applyNumberFormat="1" applyFill="1" applyBorder="1"/>
    <xf numFmtId="3" fontId="0" fillId="0" borderId="8" xfId="0" applyNumberFormat="1" applyBorder="1"/>
    <xf numFmtId="3" fontId="27" fillId="3" borderId="8" xfId="0" applyNumberFormat="1" applyFont="1" applyFill="1" applyBorder="1"/>
    <xf numFmtId="3" fontId="14" fillId="0" borderId="8" xfId="0" applyNumberFormat="1" applyFont="1" applyBorder="1"/>
    <xf numFmtId="3" fontId="14" fillId="0" borderId="0" xfId="0" applyNumberFormat="1" applyFont="1"/>
    <xf numFmtId="0" fontId="0" fillId="0" borderId="8" xfId="0" applyBorder="1"/>
    <xf numFmtId="0" fontId="27" fillId="3" borderId="8" xfId="0" applyFont="1" applyFill="1" applyBorder="1"/>
    <xf numFmtId="3" fontId="29" fillId="0" borderId="8" xfId="0" applyNumberFormat="1" applyFont="1" applyBorder="1"/>
    <xf numFmtId="0" fontId="18" fillId="0" borderId="0" xfId="0" applyFont="1"/>
    <xf numFmtId="3" fontId="18" fillId="0" borderId="8" xfId="0" applyNumberFormat="1" applyFont="1" applyBorder="1"/>
    <xf numFmtId="3" fontId="18" fillId="10" borderId="8" xfId="0" applyNumberFormat="1" applyFont="1" applyFill="1" applyBorder="1"/>
    <xf numFmtId="0" fontId="29" fillId="3" borderId="7" xfId="0" applyFont="1" applyFill="1" applyBorder="1"/>
    <xf numFmtId="0" fontId="32" fillId="3" borderId="8" xfId="0" applyFont="1" applyFill="1" applyBorder="1"/>
    <xf numFmtId="3" fontId="14" fillId="2" borderId="8" xfId="0" applyNumberFormat="1" applyFont="1" applyFill="1" applyBorder="1"/>
    <xf numFmtId="3" fontId="0" fillId="2" borderId="8" xfId="0" applyNumberFormat="1" applyFill="1" applyBorder="1"/>
    <xf numFmtId="3" fontId="14" fillId="3" borderId="8" xfId="0" applyNumberFormat="1" applyFont="1" applyFill="1" applyBorder="1"/>
    <xf numFmtId="3" fontId="33" fillId="3" borderId="8" xfId="0" applyNumberFormat="1" applyFont="1" applyFill="1" applyBorder="1"/>
    <xf numFmtId="3" fontId="14" fillId="2" borderId="5" xfId="0" applyNumberFormat="1" applyFont="1" applyFill="1" applyBorder="1"/>
    <xf numFmtId="3" fontId="0" fillId="2" borderId="5" xfId="0" applyNumberFormat="1" applyFill="1" applyBorder="1"/>
    <xf numFmtId="3" fontId="0" fillId="0" borderId="5" xfId="0" applyNumberFormat="1" applyBorder="1"/>
    <xf numFmtId="3" fontId="27" fillId="3" borderId="5" xfId="0" applyNumberFormat="1" applyFont="1" applyFill="1" applyBorder="1"/>
    <xf numFmtId="3" fontId="33" fillId="3" borderId="5" xfId="0" applyNumberFormat="1" applyFont="1" applyFill="1" applyBorder="1"/>
    <xf numFmtId="3" fontId="0" fillId="13" borderId="8" xfId="0" applyNumberFormat="1" applyFill="1" applyBorder="1"/>
    <xf numFmtId="0" fontId="14" fillId="0" borderId="6" xfId="0" applyFont="1" applyBorder="1"/>
    <xf numFmtId="3" fontId="18" fillId="2" borderId="8" xfId="0" applyNumberFormat="1" applyFont="1" applyFill="1" applyBorder="1"/>
    <xf numFmtId="0" fontId="33" fillId="0" borderId="0" xfId="0" applyFont="1"/>
    <xf numFmtId="0" fontId="34" fillId="0" borderId="1" xfId="1" applyFont="1" applyBorder="1" applyAlignment="1">
      <alignment wrapText="1"/>
    </xf>
    <xf numFmtId="0" fontId="12" fillId="0" borderId="1" xfId="1" applyBorder="1" applyAlignment="1">
      <alignment horizontal="center"/>
    </xf>
    <xf numFmtId="0" fontId="34" fillId="0" borderId="1" xfId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0" fontId="12" fillId="0" borderId="0" xfId="1" applyAlignment="1">
      <alignment wrapText="1"/>
    </xf>
    <xf numFmtId="0" fontId="12" fillId="0" borderId="3" xfId="1" applyBorder="1" applyAlignment="1">
      <alignment horizontal="center"/>
    </xf>
    <xf numFmtId="0" fontId="12" fillId="0" borderId="0" xfId="1" applyAlignment="1">
      <alignment horizontal="center"/>
    </xf>
    <xf numFmtId="0" fontId="12" fillId="0" borderId="17" xfId="1" applyBorder="1" applyAlignment="1">
      <alignment horizontal="center"/>
    </xf>
    <xf numFmtId="164" fontId="12" fillId="0" borderId="3" xfId="2" applyNumberFormat="1" applyFont="1" applyBorder="1" applyAlignment="1">
      <alignment horizontal="center"/>
    </xf>
    <xf numFmtId="0" fontId="12" fillId="0" borderId="1" xfId="1" applyBorder="1" applyAlignment="1">
      <alignment wrapText="1"/>
    </xf>
    <xf numFmtId="0" fontId="12" fillId="0" borderId="5" xfId="1" applyBorder="1" applyAlignment="1">
      <alignment horizontal="center"/>
    </xf>
    <xf numFmtId="0" fontId="12" fillId="0" borderId="14" xfId="1" applyBorder="1" applyAlignment="1">
      <alignment horizontal="center"/>
    </xf>
    <xf numFmtId="164" fontId="12" fillId="0" borderId="5" xfId="2" applyNumberFormat="1" applyFont="1" applyBorder="1" applyAlignment="1">
      <alignment horizontal="center"/>
    </xf>
    <xf numFmtId="0" fontId="12" fillId="13" borderId="7" xfId="1" applyFill="1" applyBorder="1" applyAlignment="1">
      <alignment wrapText="1"/>
    </xf>
    <xf numFmtId="0" fontId="12" fillId="0" borderId="8" xfId="1" applyBorder="1" applyAlignment="1">
      <alignment horizontal="center"/>
    </xf>
    <xf numFmtId="0" fontId="12" fillId="0" borderId="7" xfId="1" applyBorder="1" applyAlignment="1">
      <alignment wrapText="1"/>
    </xf>
    <xf numFmtId="2" fontId="12" fillId="0" borderId="1" xfId="1" applyNumberFormat="1" applyBorder="1" applyAlignment="1">
      <alignment wrapText="1"/>
    </xf>
    <xf numFmtId="2" fontId="12" fillId="0" borderId="7" xfId="1" applyNumberFormat="1" applyBorder="1" applyAlignment="1">
      <alignment wrapText="1"/>
    </xf>
    <xf numFmtId="0" fontId="0" fillId="0" borderId="8" xfId="0" applyBorder="1" applyAlignment="1">
      <alignment wrapText="1"/>
    </xf>
    <xf numFmtId="0" fontId="12" fillId="0" borderId="8" xfId="1" applyBorder="1"/>
    <xf numFmtId="3" fontId="34" fillId="8" borderId="5" xfId="1" applyNumberFormat="1" applyFont="1" applyFill="1" applyBorder="1" applyAlignment="1">
      <alignment horizontal="center"/>
    </xf>
    <xf numFmtId="164" fontId="34" fillId="8" borderId="5" xfId="2" applyNumberFormat="1" applyFont="1" applyFill="1" applyBorder="1" applyAlignment="1">
      <alignment horizontal="center"/>
    </xf>
    <xf numFmtId="0" fontId="34" fillId="0" borderId="1" xfId="1" applyFont="1" applyBorder="1"/>
    <xf numFmtId="0" fontId="12" fillId="0" borderId="0" xfId="1"/>
    <xf numFmtId="0" fontId="12" fillId="0" borderId="8" xfId="1" applyBorder="1" applyAlignment="1">
      <alignment vertical="center"/>
    </xf>
    <xf numFmtId="0" fontId="34" fillId="0" borderId="8" xfId="1" applyFont="1" applyBorder="1"/>
    <xf numFmtId="3" fontId="34" fillId="8" borderId="8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1" xfId="1" applyBorder="1"/>
    <xf numFmtId="0" fontId="34" fillId="0" borderId="8" xfId="1" applyFont="1" applyBorder="1" applyAlignment="1">
      <alignment horizontal="left"/>
    </xf>
    <xf numFmtId="0" fontId="34" fillId="0" borderId="3" xfId="1" applyFont="1" applyBorder="1" applyAlignment="1">
      <alignment horizontal="center"/>
    </xf>
    <xf numFmtId="0" fontId="12" fillId="0" borderId="7" xfId="1" applyBorder="1" applyAlignment="1">
      <alignment horizontal="left" vertical="center" wrapText="1"/>
    </xf>
    <xf numFmtId="0" fontId="12" fillId="0" borderId="7" xfId="1" applyBorder="1"/>
    <xf numFmtId="3" fontId="34" fillId="8" borderId="5" xfId="1" applyNumberFormat="1" applyFont="1" applyFill="1" applyBorder="1"/>
    <xf numFmtId="0" fontId="20" fillId="0" borderId="0" xfId="0" applyFont="1"/>
    <xf numFmtId="0" fontId="36" fillId="0" borderId="0" xfId="0" applyFont="1" applyAlignment="1">
      <alignment wrapText="1"/>
    </xf>
    <xf numFmtId="0" fontId="12" fillId="0" borderId="7" xfId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2" fillId="0" borderId="3" xfId="1" applyBorder="1"/>
    <xf numFmtId="0" fontId="12" fillId="0" borderId="17" xfId="1" applyBorder="1"/>
    <xf numFmtId="0" fontId="12" fillId="0" borderId="8" xfId="1" applyBorder="1" applyAlignment="1">
      <alignment horizontal="left"/>
    </xf>
    <xf numFmtId="0" fontId="12" fillId="0" borderId="17" xfId="1" applyBorder="1" applyAlignment="1">
      <alignment wrapText="1"/>
    </xf>
    <xf numFmtId="0" fontId="12" fillId="0" borderId="8" xfId="1" applyBorder="1" applyAlignment="1">
      <alignment wrapText="1"/>
    </xf>
    <xf numFmtId="0" fontId="12" fillId="0" borderId="2" xfId="1" applyBorder="1"/>
    <xf numFmtId="164" fontId="12" fillId="0" borderId="8" xfId="2" applyNumberFormat="1" applyFont="1" applyBorder="1"/>
    <xf numFmtId="164" fontId="12" fillId="0" borderId="13" xfId="2" applyNumberFormat="1" applyFont="1" applyBorder="1"/>
    <xf numFmtId="164" fontId="12" fillId="0" borderId="5" xfId="2" applyNumberFormat="1" applyFont="1" applyBorder="1"/>
    <xf numFmtId="164" fontId="0" fillId="0" borderId="8" xfId="2" applyNumberFormat="1" applyFont="1" applyBorder="1"/>
    <xf numFmtId="164" fontId="12" fillId="0" borderId="14" xfId="2" applyNumberFormat="1" applyFont="1" applyBorder="1"/>
    <xf numFmtId="164" fontId="12" fillId="0" borderId="0" xfId="2" applyNumberFormat="1" applyFont="1"/>
    <xf numFmtId="164" fontId="12" fillId="0" borderId="3" xfId="2" applyNumberFormat="1" applyFont="1" applyBorder="1"/>
    <xf numFmtId="164" fontId="34" fillId="8" borderId="5" xfId="2" applyNumberFormat="1" applyFont="1" applyFill="1" applyBorder="1"/>
    <xf numFmtId="43" fontId="12" fillId="0" borderId="8" xfId="2" applyFont="1" applyBorder="1"/>
    <xf numFmtId="164" fontId="12" fillId="0" borderId="1" xfId="2" applyNumberFormat="1" applyFont="1" applyBorder="1"/>
    <xf numFmtId="164" fontId="12" fillId="0" borderId="17" xfId="2" applyNumberFormat="1" applyFont="1" applyBorder="1"/>
    <xf numFmtId="164" fontId="12" fillId="0" borderId="8" xfId="2" applyNumberFormat="1" applyFont="1" applyFill="1" applyBorder="1"/>
    <xf numFmtId="164" fontId="12" fillId="0" borderId="5" xfId="2" applyNumberFormat="1" applyFont="1" applyFill="1" applyBorder="1"/>
    <xf numFmtId="43" fontId="12" fillId="0" borderId="5" xfId="2" applyFont="1" applyBorder="1"/>
    <xf numFmtId="43" fontId="12" fillId="0" borderId="14" xfId="2" applyFont="1" applyBorder="1"/>
    <xf numFmtId="43" fontId="12" fillId="0" borderId="13" xfId="2" applyFont="1" applyBorder="1"/>
    <xf numFmtId="43" fontId="34" fillId="8" borderId="5" xfId="2" applyFont="1" applyFill="1" applyBorder="1"/>
    <xf numFmtId="43" fontId="34" fillId="0" borderId="5" xfId="2" applyFont="1" applyBorder="1"/>
    <xf numFmtId="164" fontId="35" fillId="0" borderId="8" xfId="2" applyNumberFormat="1" applyFont="1" applyBorder="1"/>
    <xf numFmtId="164" fontId="37" fillId="0" borderId="0" xfId="2" applyNumberFormat="1" applyFont="1" applyAlignment="1">
      <alignment horizontal="center"/>
    </xf>
    <xf numFmtId="43" fontId="12" fillId="0" borderId="0" xfId="2" applyFont="1"/>
    <xf numFmtId="43" fontId="12" fillId="0" borderId="3" xfId="2" applyFont="1" applyBorder="1"/>
    <xf numFmtId="43" fontId="0" fillId="0" borderId="0" xfId="2" applyFont="1"/>
    <xf numFmtId="0" fontId="11" fillId="0" borderId="8" xfId="0" applyFont="1" applyBorder="1"/>
    <xf numFmtId="0" fontId="37" fillId="0" borderId="0" xfId="0" applyFont="1"/>
    <xf numFmtId="164" fontId="37" fillId="0" borderId="0" xfId="2" applyNumberFormat="1" applyFont="1"/>
    <xf numFmtId="0" fontId="41" fillId="0" borderId="0" xfId="0" applyFont="1"/>
    <xf numFmtId="164" fontId="42" fillId="0" borderId="0" xfId="2" applyNumberFormat="1" applyFont="1" applyAlignment="1">
      <alignment horizontal="center"/>
    </xf>
    <xf numFmtId="0" fontId="43" fillId="0" borderId="0" xfId="0" applyFont="1"/>
    <xf numFmtId="164" fontId="44" fillId="0" borderId="0" xfId="2" applyNumberFormat="1" applyFont="1" applyAlignment="1">
      <alignment horizontal="center"/>
    </xf>
    <xf numFmtId="0" fontId="45" fillId="0" borderId="0" xfId="0" applyFont="1" applyAlignment="1">
      <alignment wrapText="1"/>
    </xf>
    <xf numFmtId="164" fontId="45" fillId="0" borderId="0" xfId="2" applyNumberFormat="1" applyFont="1" applyFill="1" applyBorder="1" applyAlignment="1">
      <alignment horizontal="center"/>
    </xf>
    <xf numFmtId="164" fontId="39" fillId="0" borderId="0" xfId="2" applyNumberFormat="1" applyFont="1"/>
    <xf numFmtId="0" fontId="39" fillId="0" borderId="0" xfId="0" applyFont="1"/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164" fontId="39" fillId="0" borderId="0" xfId="2" applyNumberFormat="1" applyFont="1" applyAlignment="1">
      <alignment horizontal="center"/>
    </xf>
    <xf numFmtId="0" fontId="47" fillId="2" borderId="2" xfId="0" applyFont="1" applyFill="1" applyBorder="1" applyAlignment="1">
      <alignment wrapText="1"/>
    </xf>
    <xf numFmtId="0" fontId="39" fillId="0" borderId="4" xfId="0" applyFont="1" applyBorder="1" applyAlignment="1">
      <alignment wrapText="1"/>
    </xf>
    <xf numFmtId="0" fontId="49" fillId="0" borderId="2" xfId="0" applyFont="1" applyBorder="1" applyAlignment="1">
      <alignment wrapText="1"/>
    </xf>
    <xf numFmtId="164" fontId="45" fillId="4" borderId="8" xfId="2" applyNumberFormat="1" applyFont="1" applyFill="1" applyBorder="1" applyAlignment="1">
      <alignment horizontal="center"/>
    </xf>
    <xf numFmtId="164" fontId="39" fillId="0" borderId="5" xfId="2" applyNumberFormat="1" applyFont="1" applyBorder="1" applyAlignment="1">
      <alignment horizontal="center" vertical="center" wrapText="1"/>
    </xf>
    <xf numFmtId="164" fontId="50" fillId="0" borderId="5" xfId="2" applyNumberFormat="1" applyFont="1" applyBorder="1" applyAlignment="1">
      <alignment horizontal="center" vertical="center"/>
    </xf>
    <xf numFmtId="164" fontId="48" fillId="0" borderId="4" xfId="2" applyNumberFormat="1" applyFont="1" applyBorder="1" applyAlignment="1">
      <alignment horizontal="center" vertical="center" wrapText="1"/>
    </xf>
    <xf numFmtId="164" fontId="45" fillId="5" borderId="8" xfId="2" applyNumberFormat="1" applyFont="1" applyFill="1" applyBorder="1" applyAlignment="1">
      <alignment horizontal="center"/>
    </xf>
    <xf numFmtId="164" fontId="49" fillId="2" borderId="8" xfId="2" applyNumberFormat="1" applyFont="1" applyFill="1" applyBorder="1" applyAlignment="1">
      <alignment horizontal="center"/>
    </xf>
    <xf numFmtId="164" fontId="49" fillId="2" borderId="8" xfId="2" applyNumberFormat="1" applyFont="1" applyFill="1" applyBorder="1" applyAlignment="1">
      <alignment horizontal="center" vertical="center"/>
    </xf>
    <xf numFmtId="164" fontId="42" fillId="2" borderId="8" xfId="2" applyNumberFormat="1" applyFont="1" applyFill="1" applyBorder="1" applyAlignment="1">
      <alignment horizontal="center"/>
    </xf>
    <xf numFmtId="164" fontId="45" fillId="0" borderId="8" xfId="2" applyNumberFormat="1" applyFont="1" applyBorder="1" applyAlignment="1">
      <alignment horizontal="center"/>
    </xf>
    <xf numFmtId="164" fontId="45" fillId="0" borderId="4" xfId="2" applyNumberFormat="1" applyFont="1" applyBorder="1" applyAlignment="1">
      <alignment horizontal="center"/>
    </xf>
    <xf numFmtId="164" fontId="45" fillId="7" borderId="8" xfId="2" applyNumberFormat="1" applyFont="1" applyFill="1" applyBorder="1" applyAlignment="1">
      <alignment horizontal="center"/>
    </xf>
    <xf numFmtId="164" fontId="45" fillId="4" borderId="3" xfId="2" applyNumberFormat="1" applyFont="1" applyFill="1" applyBorder="1" applyAlignment="1">
      <alignment horizontal="center"/>
    </xf>
    <xf numFmtId="164" fontId="45" fillId="5" borderId="3" xfId="2" applyNumberFormat="1" applyFont="1" applyFill="1" applyBorder="1" applyAlignment="1">
      <alignment horizontal="center"/>
    </xf>
    <xf numFmtId="164" fontId="45" fillId="0" borderId="21" xfId="2" applyNumberFormat="1" applyFont="1" applyBorder="1" applyAlignment="1">
      <alignment horizontal="center"/>
    </xf>
    <xf numFmtId="0" fontId="49" fillId="0" borderId="8" xfId="0" applyFont="1" applyBorder="1" applyAlignment="1">
      <alignment wrapText="1"/>
    </xf>
    <xf numFmtId="164" fontId="45" fillId="4" borderId="8" xfId="2" applyNumberFormat="1" applyFont="1" applyFill="1" applyBorder="1" applyAlignment="1">
      <alignment horizontal="center" vertical="center"/>
    </xf>
    <xf numFmtId="164" fontId="45" fillId="5" borderId="8" xfId="2" applyNumberFormat="1" applyFont="1" applyFill="1" applyBorder="1" applyAlignment="1">
      <alignment vertical="center"/>
    </xf>
    <xf numFmtId="164" fontId="49" fillId="0" borderId="8" xfId="2" applyNumberFormat="1" applyFont="1" applyBorder="1" applyAlignment="1">
      <alignment horizontal="center" vertical="center"/>
    </xf>
    <xf numFmtId="164" fontId="42" fillId="0" borderId="8" xfId="2" applyNumberFormat="1" applyFont="1" applyBorder="1" applyAlignment="1">
      <alignment vertical="center"/>
    </xf>
    <xf numFmtId="164" fontId="45" fillId="0" borderId="8" xfId="2" applyNumberFormat="1" applyFont="1" applyBorder="1" applyAlignment="1">
      <alignment horizontal="center" vertical="center"/>
    </xf>
    <xf numFmtId="164" fontId="45" fillId="0" borderId="8" xfId="2" applyNumberFormat="1" applyFont="1" applyBorder="1" applyAlignment="1">
      <alignment vertical="center"/>
    </xf>
    <xf numFmtId="0" fontId="40" fillId="0" borderId="8" xfId="1" applyFont="1" applyBorder="1"/>
    <xf numFmtId="164" fontId="39" fillId="0" borderId="8" xfId="2" applyNumberFormat="1" applyFont="1" applyBorder="1" applyAlignment="1">
      <alignment horizontal="center"/>
    </xf>
    <xf numFmtId="43" fontId="40" fillId="0" borderId="8" xfId="2" applyFont="1" applyBorder="1"/>
    <xf numFmtId="0" fontId="40" fillId="16" borderId="12" xfId="1" applyFont="1" applyFill="1" applyBorder="1"/>
    <xf numFmtId="164" fontId="39" fillId="16" borderId="10" xfId="2" applyNumberFormat="1" applyFont="1" applyFill="1" applyBorder="1" applyAlignment="1">
      <alignment horizontal="center"/>
    </xf>
    <xf numFmtId="164" fontId="40" fillId="16" borderId="5" xfId="2" applyNumberFormat="1" applyFont="1" applyFill="1" applyBorder="1"/>
    <xf numFmtId="164" fontId="45" fillId="0" borderId="5" xfId="2" applyNumberFormat="1" applyFont="1" applyBorder="1" applyAlignment="1">
      <alignment horizontal="center"/>
    </xf>
    <xf numFmtId="43" fontId="40" fillId="0" borderId="4" xfId="2" applyFont="1" applyBorder="1"/>
    <xf numFmtId="0" fontId="45" fillId="0" borderId="1" xfId="0" applyFont="1" applyBorder="1" applyAlignment="1">
      <alignment horizontal="left" wrapText="1"/>
    </xf>
    <xf numFmtId="164" fontId="45" fillId="4" borderId="5" xfId="2" applyNumberFormat="1" applyFont="1" applyFill="1" applyBorder="1" applyAlignment="1">
      <alignment horizontal="center"/>
    </xf>
    <xf numFmtId="164" fontId="45" fillId="5" borderId="5" xfId="2" applyNumberFormat="1" applyFont="1" applyFill="1" applyBorder="1" applyAlignment="1">
      <alignment horizontal="center"/>
    </xf>
    <xf numFmtId="164" fontId="45" fillId="2" borderId="15" xfId="2" applyNumberFormat="1" applyFont="1" applyFill="1" applyBorder="1" applyAlignment="1">
      <alignment horizontal="center"/>
    </xf>
    <xf numFmtId="164" fontId="45" fillId="0" borderId="15" xfId="2" applyNumberFormat="1" applyFont="1" applyBorder="1" applyAlignment="1">
      <alignment horizontal="center"/>
    </xf>
    <xf numFmtId="164" fontId="45" fillId="0" borderId="19" xfId="2" applyNumberFormat="1" applyFont="1" applyBorder="1" applyAlignment="1">
      <alignment horizontal="center"/>
    </xf>
    <xf numFmtId="164" fontId="45" fillId="7" borderId="15" xfId="2" applyNumberFormat="1" applyFont="1" applyFill="1" applyBorder="1" applyAlignment="1">
      <alignment horizontal="center"/>
    </xf>
    <xf numFmtId="3" fontId="39" fillId="0" borderId="0" xfId="0" applyNumberFormat="1" applyFont="1"/>
    <xf numFmtId="164" fontId="45" fillId="0" borderId="0" xfId="2" applyNumberFormat="1" applyFont="1" applyAlignment="1">
      <alignment horizontal="center"/>
    </xf>
    <xf numFmtId="0" fontId="47" fillId="9" borderId="8" xfId="0" applyFont="1" applyFill="1" applyBorder="1" applyAlignment="1">
      <alignment wrapText="1"/>
    </xf>
    <xf numFmtId="164" fontId="45" fillId="0" borderId="7" xfId="2" applyNumberFormat="1" applyFont="1" applyBorder="1" applyAlignment="1">
      <alignment horizontal="center"/>
    </xf>
    <xf numFmtId="164" fontId="45" fillId="0" borderId="1" xfId="2" applyNumberFormat="1" applyFont="1" applyBorder="1" applyAlignment="1">
      <alignment horizontal="center"/>
    </xf>
    <xf numFmtId="164" fontId="51" fillId="0" borderId="1" xfId="2" applyNumberFormat="1" applyFont="1" applyBorder="1" applyAlignment="1">
      <alignment horizontal="center"/>
    </xf>
    <xf numFmtId="164" fontId="45" fillId="8" borderId="8" xfId="2" applyNumberFormat="1" applyFont="1" applyFill="1" applyBorder="1" applyAlignment="1">
      <alignment horizontal="center" vertical="center" wrapText="1"/>
    </xf>
    <xf numFmtId="0" fontId="39" fillId="0" borderId="6" xfId="0" applyFont="1" applyBorder="1" applyAlignment="1">
      <alignment wrapText="1"/>
    </xf>
    <xf numFmtId="164" fontId="49" fillId="9" borderId="8" xfId="2" applyNumberFormat="1" applyFont="1" applyFill="1" applyBorder="1" applyAlignment="1">
      <alignment horizontal="center"/>
    </xf>
    <xf numFmtId="164" fontId="45" fillId="8" borderId="8" xfId="2" applyNumberFormat="1" applyFont="1" applyFill="1" applyBorder="1" applyAlignment="1">
      <alignment horizontal="center"/>
    </xf>
    <xf numFmtId="164" fontId="49" fillId="9" borderId="5" xfId="2" applyNumberFormat="1" applyFont="1" applyFill="1" applyBorder="1" applyAlignment="1">
      <alignment horizontal="center"/>
    </xf>
    <xf numFmtId="0" fontId="39" fillId="0" borderId="2" xfId="0" applyFont="1" applyBorder="1" applyAlignment="1">
      <alignment wrapText="1"/>
    </xf>
    <xf numFmtId="164" fontId="49" fillId="9" borderId="3" xfId="2" applyNumberFormat="1" applyFont="1" applyFill="1" applyBorder="1" applyAlignment="1">
      <alignment horizontal="center"/>
    </xf>
    <xf numFmtId="0" fontId="48" fillId="0" borderId="0" xfId="0" applyFont="1"/>
    <xf numFmtId="164" fontId="45" fillId="4" borderId="10" xfId="2" applyNumberFormat="1" applyFont="1" applyFill="1" applyBorder="1" applyAlignment="1">
      <alignment horizontal="center"/>
    </xf>
    <xf numFmtId="164" fontId="45" fillId="5" borderId="10" xfId="2" applyNumberFormat="1" applyFont="1" applyFill="1" applyBorder="1" applyAlignment="1">
      <alignment horizontal="center"/>
    </xf>
    <xf numFmtId="164" fontId="49" fillId="9" borderId="10" xfId="2" applyNumberFormat="1" applyFont="1" applyFill="1" applyBorder="1" applyAlignment="1">
      <alignment horizontal="center"/>
    </xf>
    <xf numFmtId="164" fontId="45" fillId="0" borderId="10" xfId="2" applyNumberFormat="1" applyFont="1" applyBorder="1" applyAlignment="1">
      <alignment horizontal="center"/>
    </xf>
    <xf numFmtId="164" fontId="45" fillId="0" borderId="0" xfId="2" applyNumberFormat="1" applyFont="1" applyBorder="1" applyAlignment="1">
      <alignment horizontal="center"/>
    </xf>
    <xf numFmtId="0" fontId="39" fillId="0" borderId="0" xfId="0" applyFont="1" applyAlignment="1">
      <alignment wrapText="1"/>
    </xf>
    <xf numFmtId="164" fontId="38" fillId="0" borderId="0" xfId="2" applyNumberFormat="1" applyFont="1" applyFill="1" applyBorder="1" applyAlignment="1">
      <alignment horizontal="center"/>
    </xf>
    <xf numFmtId="0" fontId="52" fillId="0" borderId="0" xfId="1" applyFont="1" applyAlignment="1">
      <alignment vertical="center"/>
    </xf>
    <xf numFmtId="164" fontId="39" fillId="0" borderId="0" xfId="2" applyNumberFormat="1" applyFont="1" applyBorder="1" applyAlignment="1">
      <alignment horizontal="center" vertical="center"/>
    </xf>
    <xf numFmtId="164" fontId="53" fillId="0" borderId="0" xfId="2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164" fontId="45" fillId="17" borderId="5" xfId="2" applyNumberFormat="1" applyFont="1" applyFill="1" applyBorder="1" applyAlignment="1">
      <alignment horizontal="center"/>
    </xf>
    <xf numFmtId="0" fontId="45" fillId="0" borderId="0" xfId="0" applyFont="1" applyAlignment="1">
      <alignment horizontal="left" wrapText="1"/>
    </xf>
    <xf numFmtId="164" fontId="45" fillId="0" borderId="8" xfId="2" applyNumberFormat="1" applyFont="1" applyFill="1" applyBorder="1" applyAlignment="1">
      <alignment horizontal="center"/>
    </xf>
    <xf numFmtId="0" fontId="45" fillId="0" borderId="8" xfId="0" applyFont="1" applyBorder="1" applyAlignment="1">
      <alignment wrapText="1"/>
    </xf>
    <xf numFmtId="0" fontId="39" fillId="0" borderId="8" xfId="0" applyFont="1" applyBorder="1" applyAlignment="1">
      <alignment wrapText="1"/>
    </xf>
    <xf numFmtId="0" fontId="45" fillId="17" borderId="1" xfId="0" applyFont="1" applyFill="1" applyBorder="1" applyAlignment="1">
      <alignment horizontal="left" wrapText="1"/>
    </xf>
    <xf numFmtId="0" fontId="39" fillId="0" borderId="11" xfId="0" applyFont="1" applyBorder="1" applyAlignment="1">
      <alignment wrapText="1"/>
    </xf>
    <xf numFmtId="0" fontId="45" fillId="17" borderId="5" xfId="0" applyFont="1" applyFill="1" applyBorder="1" applyAlignment="1">
      <alignment horizontal="left" wrapText="1"/>
    </xf>
    <xf numFmtId="164" fontId="45" fillId="0" borderId="10" xfId="2" applyNumberFormat="1" applyFont="1" applyFill="1" applyBorder="1" applyAlignment="1">
      <alignment horizontal="center"/>
    </xf>
    <xf numFmtId="0" fontId="54" fillId="0" borderId="0" xfId="0" applyFont="1" applyAlignment="1">
      <alignment horizontal="right" wrapText="1"/>
    </xf>
    <xf numFmtId="164" fontId="54" fillId="0" borderId="0" xfId="2" applyNumberFormat="1" applyFont="1"/>
    <xf numFmtId="164" fontId="34" fillId="8" borderId="14" xfId="1" applyNumberFormat="1" applyFont="1" applyFill="1" applyBorder="1"/>
    <xf numFmtId="43" fontId="34" fillId="8" borderId="8" xfId="2" applyFont="1" applyFill="1" applyBorder="1"/>
    <xf numFmtId="164" fontId="55" fillId="0" borderId="1" xfId="2" applyNumberFormat="1" applyFont="1" applyBorder="1" applyAlignment="1">
      <alignment horizontal="center" vertical="center"/>
    </xf>
    <xf numFmtId="164" fontId="12" fillId="16" borderId="17" xfId="2" applyNumberFormat="1" applyFont="1" applyFill="1" applyBorder="1"/>
    <xf numFmtId="0" fontId="12" fillId="16" borderId="8" xfId="1" applyFill="1" applyBorder="1" applyAlignment="1">
      <alignment horizontal="left"/>
    </xf>
    <xf numFmtId="0" fontId="0" fillId="0" borderId="6" xfId="0" applyBorder="1" applyAlignment="1">
      <alignment wrapText="1"/>
    </xf>
    <xf numFmtId="164" fontId="45" fillId="4" borderId="3" xfId="2" applyNumberFormat="1" applyFont="1" applyFill="1" applyBorder="1"/>
    <xf numFmtId="164" fontId="45" fillId="5" borderId="3" xfId="2" applyNumberFormat="1" applyFont="1" applyFill="1" applyBorder="1" applyAlignment="1">
      <alignment vertical="center"/>
    </xf>
    <xf numFmtId="164" fontId="45" fillId="0" borderId="3" xfId="2" applyNumberFormat="1" applyFont="1" applyBorder="1" applyAlignment="1">
      <alignment vertical="center"/>
    </xf>
    <xf numFmtId="164" fontId="48" fillId="0" borderId="8" xfId="2" applyNumberFormat="1" applyFont="1" applyBorder="1" applyAlignment="1">
      <alignment horizontal="center" vertical="center" wrapText="1"/>
    </xf>
    <xf numFmtId="164" fontId="48" fillId="0" borderId="8" xfId="2" applyNumberFormat="1" applyFont="1" applyBorder="1" applyAlignment="1">
      <alignment horizontal="center" vertical="center"/>
    </xf>
    <xf numFmtId="164" fontId="48" fillId="12" borderId="8" xfId="2" applyNumberFormat="1" applyFont="1" applyFill="1" applyBorder="1" applyAlignment="1">
      <alignment horizontal="center" vertical="center" wrapText="1"/>
    </xf>
    <xf numFmtId="164" fontId="12" fillId="0" borderId="8" xfId="2" applyNumberFormat="1" applyFont="1" applyBorder="1" applyAlignment="1">
      <alignment horizontal="center"/>
    </xf>
    <xf numFmtId="2" fontId="12" fillId="0" borderId="8" xfId="1" applyNumberFormat="1" applyBorder="1"/>
    <xf numFmtId="0" fontId="12" fillId="0" borderId="8" xfId="1" applyBorder="1" applyAlignment="1">
      <alignment horizontal="left" wrapText="1"/>
    </xf>
    <xf numFmtId="2" fontId="12" fillId="0" borderId="8" xfId="1" applyNumberFormat="1" applyBorder="1" applyAlignment="1">
      <alignment wrapText="1"/>
    </xf>
    <xf numFmtId="164" fontId="45" fillId="16" borderId="4" xfId="2" applyNumberFormat="1" applyFont="1" applyFill="1" applyBorder="1" applyAlignment="1">
      <alignment horizontal="center"/>
    </xf>
    <xf numFmtId="164" fontId="45" fillId="16" borderId="11" xfId="2" applyNumberFormat="1" applyFont="1" applyFill="1" applyBorder="1" applyAlignment="1">
      <alignment horizontal="center"/>
    </xf>
    <xf numFmtId="164" fontId="45" fillId="16" borderId="10" xfId="2" applyNumberFormat="1" applyFont="1" applyFill="1" applyBorder="1" applyAlignment="1">
      <alignment horizontal="center"/>
    </xf>
    <xf numFmtId="164" fontId="45" fillId="16" borderId="8" xfId="2" applyNumberFormat="1" applyFont="1" applyFill="1" applyBorder="1" applyAlignment="1">
      <alignment horizontal="center"/>
    </xf>
    <xf numFmtId="164" fontId="49" fillId="19" borderId="8" xfId="2" applyNumberFormat="1" applyFont="1" applyFill="1" applyBorder="1" applyAlignment="1">
      <alignment horizontal="center"/>
    </xf>
    <xf numFmtId="164" fontId="49" fillId="19" borderId="5" xfId="2" applyNumberFormat="1" applyFont="1" applyFill="1" applyBorder="1" applyAlignment="1">
      <alignment horizontal="center"/>
    </xf>
    <xf numFmtId="164" fontId="42" fillId="19" borderId="5" xfId="2" applyNumberFormat="1" applyFont="1" applyFill="1" applyBorder="1" applyAlignment="1">
      <alignment horizontal="center"/>
    </xf>
    <xf numFmtId="164" fontId="49" fillId="19" borderId="10" xfId="2" applyNumberFormat="1" applyFont="1" applyFill="1" applyBorder="1" applyAlignment="1">
      <alignment horizontal="center"/>
    </xf>
    <xf numFmtId="164" fontId="12" fillId="20" borderId="8" xfId="2" applyNumberFormat="1" applyFont="1" applyFill="1" applyBorder="1"/>
    <xf numFmtId="164" fontId="12" fillId="20" borderId="13" xfId="2" applyNumberFormat="1" applyFont="1" applyFill="1" applyBorder="1"/>
    <xf numFmtId="164" fontId="12" fillId="20" borderId="5" xfId="2" applyNumberFormat="1" applyFont="1" applyFill="1" applyBorder="1"/>
    <xf numFmtId="164" fontId="12" fillId="20" borderId="14" xfId="2" applyNumberFormat="1" applyFont="1" applyFill="1" applyBorder="1"/>
    <xf numFmtId="0" fontId="56" fillId="0" borderId="1" xfId="1" applyFont="1" applyBorder="1"/>
    <xf numFmtId="0" fontId="56" fillId="0" borderId="1" xfId="1" applyFont="1" applyBorder="1" applyAlignment="1">
      <alignment horizontal="center"/>
    </xf>
    <xf numFmtId="0" fontId="57" fillId="0" borderId="1" xfId="1" applyFont="1" applyBorder="1"/>
    <xf numFmtId="0" fontId="57" fillId="0" borderId="0" xfId="1" applyFont="1"/>
    <xf numFmtId="0" fontId="58" fillId="0" borderId="0" xfId="0" applyFont="1"/>
    <xf numFmtId="0" fontId="57" fillId="0" borderId="17" xfId="1" applyFont="1" applyBorder="1" applyAlignment="1">
      <alignment horizontal="center"/>
    </xf>
    <xf numFmtId="0" fontId="57" fillId="0" borderId="3" xfId="1" applyFont="1" applyBorder="1" applyAlignment="1">
      <alignment horizontal="center"/>
    </xf>
    <xf numFmtId="0" fontId="57" fillId="0" borderId="8" xfId="1" applyFont="1" applyBorder="1" applyAlignment="1">
      <alignment wrapText="1"/>
    </xf>
    <xf numFmtId="164" fontId="58" fillId="0" borderId="8" xfId="2" applyNumberFormat="1" applyFont="1" applyBorder="1"/>
    <xf numFmtId="164" fontId="57" fillId="0" borderId="8" xfId="2" applyNumberFormat="1" applyFont="1" applyBorder="1"/>
    <xf numFmtId="0" fontId="57" fillId="0" borderId="7" xfId="1" applyFont="1" applyBorder="1"/>
    <xf numFmtId="3" fontId="56" fillId="8" borderId="5" xfId="1" applyNumberFormat="1" applyFont="1" applyFill="1" applyBorder="1"/>
    <xf numFmtId="0" fontId="58" fillId="0" borderId="0" xfId="0" applyFont="1" applyAlignment="1">
      <alignment horizontal="center"/>
    </xf>
    <xf numFmtId="3" fontId="58" fillId="0" borderId="0" xfId="0" applyNumberFormat="1" applyFont="1" applyAlignment="1">
      <alignment horizontal="center"/>
    </xf>
    <xf numFmtId="164" fontId="12" fillId="0" borderId="5" xfId="2" applyNumberFormat="1" applyFont="1" applyFill="1" applyBorder="1" applyAlignment="1">
      <alignment horizontal="center"/>
    </xf>
    <xf numFmtId="164" fontId="12" fillId="0" borderId="14" xfId="2" applyNumberFormat="1" applyFont="1" applyFill="1" applyBorder="1"/>
    <xf numFmtId="43" fontId="12" fillId="17" borderId="8" xfId="2" applyFont="1" applyFill="1" applyBorder="1"/>
    <xf numFmtId="0" fontId="12" fillId="0" borderId="7" xfId="1" applyFont="1" applyBorder="1"/>
    <xf numFmtId="43" fontId="55" fillId="0" borderId="1" xfId="2" applyNumberFormat="1" applyFont="1" applyBorder="1" applyAlignment="1">
      <alignment horizontal="center" vertical="center"/>
    </xf>
    <xf numFmtId="0" fontId="59" fillId="0" borderId="8" xfId="1" applyFont="1" applyBorder="1"/>
    <xf numFmtId="43" fontId="45" fillId="0" borderId="1" xfId="0" applyNumberFormat="1" applyFont="1" applyBorder="1" applyAlignment="1">
      <alignment vertical="center" wrapText="1"/>
    </xf>
    <xf numFmtId="0" fontId="12" fillId="0" borderId="6" xfId="1" applyBorder="1" applyAlignment="1">
      <alignment wrapText="1"/>
    </xf>
    <xf numFmtId="0" fontId="12" fillId="0" borderId="1" xfId="1" applyFont="1" applyBorder="1"/>
    <xf numFmtId="0" fontId="12" fillId="0" borderId="0" xfId="1" applyBorder="1"/>
    <xf numFmtId="164" fontId="12" fillId="16" borderId="3" xfId="2" applyNumberFormat="1" applyFont="1" applyFill="1" applyBorder="1"/>
    <xf numFmtId="164" fontId="45" fillId="7" borderId="8" xfId="2" applyNumberFormat="1" applyFont="1" applyFill="1" applyBorder="1" applyAlignment="1">
      <alignment horizontal="center" vertical="center"/>
    </xf>
    <xf numFmtId="0" fontId="10" fillId="0" borderId="8" xfId="0" applyFont="1" applyBorder="1"/>
    <xf numFmtId="164" fontId="53" fillId="0" borderId="0" xfId="2" applyNumberFormat="1" applyFont="1" applyFill="1" applyBorder="1" applyAlignment="1">
      <alignment vertical="center"/>
    </xf>
    <xf numFmtId="164" fontId="21" fillId="0" borderId="0" xfId="2" applyNumberFormat="1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0" xfId="0" applyFont="1"/>
    <xf numFmtId="164" fontId="45" fillId="0" borderId="3" xfId="2" applyNumberFormat="1" applyFont="1" applyBorder="1" applyAlignment="1">
      <alignment horizontal="center"/>
    </xf>
    <xf numFmtId="164" fontId="45" fillId="16" borderId="21" xfId="2" applyNumberFormat="1" applyFont="1" applyFill="1" applyBorder="1" applyAlignment="1">
      <alignment horizontal="center"/>
    </xf>
    <xf numFmtId="164" fontId="45" fillId="16" borderId="3" xfId="2" applyNumberFormat="1" applyFont="1" applyFill="1" applyBorder="1" applyAlignment="1">
      <alignment horizontal="center"/>
    </xf>
    <xf numFmtId="0" fontId="60" fillId="14" borderId="8" xfId="1" applyFont="1" applyFill="1" applyBorder="1"/>
    <xf numFmtId="2" fontId="12" fillId="21" borderId="7" xfId="1" applyNumberFormat="1" applyFill="1" applyBorder="1" applyAlignment="1">
      <alignment wrapText="1"/>
    </xf>
    <xf numFmtId="2" fontId="12" fillId="22" borderId="7" xfId="1" applyNumberFormat="1" applyFill="1" applyBorder="1" applyAlignment="1">
      <alignment wrapText="1"/>
    </xf>
    <xf numFmtId="2" fontId="12" fillId="23" borderId="7" xfId="1" applyNumberFormat="1" applyFill="1" applyBorder="1" applyAlignment="1">
      <alignment wrapText="1"/>
    </xf>
    <xf numFmtId="164" fontId="18" fillId="4" borderId="5" xfId="2" applyNumberFormat="1" applyFont="1" applyFill="1" applyBorder="1" applyAlignment="1">
      <alignment horizontal="center"/>
    </xf>
    <xf numFmtId="164" fontId="57" fillId="16" borderId="8" xfId="2" applyNumberFormat="1" applyFont="1" applyFill="1" applyBorder="1"/>
    <xf numFmtId="0" fontId="57" fillId="16" borderId="7" xfId="1" applyFont="1" applyFill="1" applyBorder="1"/>
    <xf numFmtId="0" fontId="40" fillId="0" borderId="16" xfId="1" applyFont="1" applyBorder="1"/>
    <xf numFmtId="164" fontId="39" fillId="0" borderId="3" xfId="2" applyNumberFormat="1" applyFont="1" applyBorder="1" applyAlignment="1">
      <alignment horizontal="center"/>
    </xf>
    <xf numFmtId="43" fontId="40" fillId="0" borderId="5" xfId="2" applyFont="1" applyBorder="1"/>
    <xf numFmtId="164" fontId="18" fillId="16" borderId="4" xfId="2" applyNumberFormat="1" applyFont="1" applyFill="1" applyBorder="1" applyAlignment="1">
      <alignment horizontal="center"/>
    </xf>
    <xf numFmtId="0" fontId="21" fillId="23" borderId="0" xfId="0" applyFont="1" applyFill="1" applyAlignment="1">
      <alignment wrapText="1"/>
    </xf>
    <xf numFmtId="164" fontId="21" fillId="23" borderId="0" xfId="2" applyNumberFormat="1" applyFont="1" applyFill="1"/>
    <xf numFmtId="0" fontId="9" fillId="0" borderId="6" xfId="0" applyFont="1" applyBorder="1" applyAlignment="1">
      <alignment wrapText="1"/>
    </xf>
    <xf numFmtId="0" fontId="12" fillId="0" borderId="1" xfId="1" applyFont="1" applyFill="1" applyBorder="1"/>
    <xf numFmtId="0" fontId="8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5" xfId="2" applyNumberFormat="1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3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3" fontId="58" fillId="0" borderId="0" xfId="0" applyNumberFormat="1" applyFont="1"/>
    <xf numFmtId="43" fontId="34" fillId="0" borderId="1" xfId="2" applyFont="1" applyBorder="1"/>
    <xf numFmtId="0" fontId="1" fillId="0" borderId="1" xfId="0" applyFont="1" applyBorder="1" applyAlignment="1">
      <alignment wrapText="1"/>
    </xf>
    <xf numFmtId="2" fontId="12" fillId="25" borderId="7" xfId="1" applyNumberFormat="1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27" fillId="0" borderId="0" xfId="0" applyFont="1" applyAlignment="1">
      <alignment wrapText="1"/>
    </xf>
    <xf numFmtId="164" fontId="27" fillId="0" borderId="0" xfId="2" applyNumberFormat="1" applyFont="1"/>
    <xf numFmtId="164" fontId="27" fillId="0" borderId="0" xfId="2" applyNumberFormat="1" applyFont="1" applyAlignment="1">
      <alignment horizontal="center"/>
    </xf>
    <xf numFmtId="0" fontId="27" fillId="0" borderId="0" xfId="0" applyFont="1"/>
    <xf numFmtId="0" fontId="24" fillId="11" borderId="4" xfId="0" applyFont="1" applyFill="1" applyBorder="1"/>
    <xf numFmtId="0" fontId="24" fillId="11" borderId="1" xfId="0" applyFont="1" applyFill="1" applyBorder="1"/>
    <xf numFmtId="0" fontId="24" fillId="11" borderId="14" xfId="0" applyFont="1" applyFill="1" applyBorder="1"/>
    <xf numFmtId="0" fontId="25" fillId="15" borderId="2" xfId="0" applyFont="1" applyFill="1" applyBorder="1"/>
    <xf numFmtId="0" fontId="26" fillId="15" borderId="16" xfId="0" applyFont="1" applyFill="1" applyBorder="1"/>
    <xf numFmtId="0" fontId="26" fillId="15" borderId="17" xfId="0" applyFont="1" applyFill="1" applyBorder="1"/>
    <xf numFmtId="0" fontId="24" fillId="15" borderId="4" xfId="0" applyFont="1" applyFill="1" applyBorder="1"/>
    <xf numFmtId="0" fontId="0" fillId="15" borderId="1" xfId="0" applyFill="1" applyBorder="1"/>
    <xf numFmtId="0" fontId="0" fillId="15" borderId="14" xfId="0" applyFill="1" applyBorder="1"/>
    <xf numFmtId="0" fontId="1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19" xfId="0" applyFont="1" applyBorder="1"/>
    <xf numFmtId="0" fontId="20" fillId="0" borderId="18" xfId="0" applyFont="1" applyBorder="1"/>
    <xf numFmtId="0" fontId="20" fillId="0" borderId="20" xfId="0" applyFont="1" applyBorder="1"/>
    <xf numFmtId="0" fontId="16" fillId="0" borderId="0" xfId="0" applyFont="1"/>
    <xf numFmtId="0" fontId="25" fillId="11" borderId="2" xfId="0" applyFont="1" applyFill="1" applyBorder="1"/>
    <xf numFmtId="0" fontId="25" fillId="11" borderId="16" xfId="0" applyFont="1" applyFill="1" applyBorder="1"/>
    <xf numFmtId="0" fontId="25" fillId="11" borderId="16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19" fillId="9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19" fillId="2" borderId="2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8" fillId="0" borderId="0" xfId="0" applyFont="1"/>
    <xf numFmtId="0" fontId="61" fillId="0" borderId="0" xfId="1" applyFont="1"/>
    <xf numFmtId="164" fontId="62" fillId="0" borderId="0" xfId="2" applyNumberFormat="1" applyFont="1" applyBorder="1" applyAlignment="1">
      <alignment horizontal="center"/>
    </xf>
    <xf numFmtId="43" fontId="61" fillId="0" borderId="0" xfId="2" applyFont="1" applyBorder="1"/>
    <xf numFmtId="164" fontId="63" fillId="0" borderId="0" xfId="2" applyNumberFormat="1" applyFont="1" applyAlignment="1">
      <alignment horizontal="center"/>
    </xf>
    <xf numFmtId="0" fontId="62" fillId="0" borderId="0" xfId="0" applyFont="1"/>
    <xf numFmtId="0" fontId="63" fillId="0" borderId="0" xfId="0" applyFont="1" applyAlignment="1">
      <alignment wrapText="1"/>
    </xf>
    <xf numFmtId="164" fontId="63" fillId="17" borderId="0" xfId="2" applyNumberFormat="1" applyFont="1" applyFill="1" applyAlignment="1">
      <alignment horizontal="center" vertical="center"/>
    </xf>
    <xf numFmtId="164" fontId="63" fillId="17" borderId="0" xfId="2" applyNumberFormat="1" applyFont="1" applyFill="1" applyAlignment="1">
      <alignment horizontal="center"/>
    </xf>
    <xf numFmtId="164" fontId="63" fillId="17" borderId="0" xfId="2" applyNumberFormat="1" applyFont="1" applyFill="1"/>
    <xf numFmtId="0" fontId="63" fillId="0" borderId="0" xfId="0" applyFont="1"/>
    <xf numFmtId="0" fontId="63" fillId="0" borderId="0" xfId="0" applyFont="1" applyFill="1" applyAlignment="1">
      <alignment wrapText="1"/>
    </xf>
    <xf numFmtId="164" fontId="63" fillId="0" borderId="0" xfId="2" applyNumberFormat="1" applyFont="1" applyFill="1" applyAlignment="1">
      <alignment horizontal="center" vertical="center"/>
    </xf>
    <xf numFmtId="164" fontId="63" fillId="0" borderId="0" xfId="2" applyNumberFormat="1" applyFont="1" applyFill="1" applyAlignment="1">
      <alignment horizontal="center"/>
    </xf>
    <xf numFmtId="164" fontId="63" fillId="0" borderId="0" xfId="2" applyNumberFormat="1" applyFont="1" applyFill="1"/>
    <xf numFmtId="0" fontId="63" fillId="0" borderId="0" xfId="0" applyFont="1" applyFill="1"/>
    <xf numFmtId="164" fontId="63" fillId="24" borderId="0" xfId="2" applyNumberFormat="1" applyFont="1" applyFill="1" applyAlignment="1">
      <alignment horizontal="center" vertical="center"/>
    </xf>
    <xf numFmtId="164" fontId="63" fillId="24" borderId="0" xfId="2" applyNumberFormat="1" applyFont="1" applyFill="1"/>
    <xf numFmtId="164" fontId="63" fillId="0" borderId="0" xfId="2" applyNumberFormat="1" applyFont="1"/>
    <xf numFmtId="164" fontId="63" fillId="18" borderId="0" xfId="2" applyNumberFormat="1" applyFont="1" applyFill="1" applyAlignment="1">
      <alignment horizontal="center" vertical="center"/>
    </xf>
    <xf numFmtId="164" fontId="63" fillId="18" borderId="0" xfId="2" applyNumberFormat="1" applyFont="1" applyFill="1" applyAlignment="1">
      <alignment horizontal="center"/>
    </xf>
    <xf numFmtId="164" fontId="63" fillId="18" borderId="0" xfId="2" applyNumberFormat="1" applyFont="1" applyFill="1"/>
    <xf numFmtId="164" fontId="63" fillId="16" borderId="0" xfId="2" applyNumberFormat="1" applyFont="1" applyFill="1" applyAlignment="1">
      <alignment horizontal="center" vertical="center"/>
    </xf>
    <xf numFmtId="164" fontId="63" fillId="16" borderId="0" xfId="2" applyNumberFormat="1" applyFont="1" applyFill="1" applyAlignment="1">
      <alignment horizontal="center"/>
    </xf>
    <xf numFmtId="164" fontId="63" fillId="16" borderId="0" xfId="2" applyNumberFormat="1" applyFont="1" applyFill="1"/>
    <xf numFmtId="164" fontId="63" fillId="16" borderId="0" xfId="2" applyNumberFormat="1" applyFont="1" applyFill="1" applyAlignment="1">
      <alignment horizontal="center" vertical="center" wrapText="1"/>
    </xf>
    <xf numFmtId="164" fontId="63" fillId="0" borderId="0" xfId="2" applyNumberFormat="1" applyFont="1" applyAlignment="1">
      <alignment horizontal="center" vertical="center"/>
    </xf>
    <xf numFmtId="164" fontId="63" fillId="0" borderId="0" xfId="2" applyNumberFormat="1" applyFont="1" applyAlignment="1">
      <alignment horizontal="left"/>
    </xf>
    <xf numFmtId="164" fontId="64" fillId="0" borderId="0" xfId="2" applyNumberFormat="1" applyFont="1"/>
    <xf numFmtId="0" fontId="62" fillId="0" borderId="0" xfId="0" applyFont="1" applyAlignment="1">
      <alignment wrapText="1"/>
    </xf>
    <xf numFmtId="164" fontId="62" fillId="0" borderId="0" xfId="2" applyNumberFormat="1" applyFont="1" applyAlignment="1">
      <alignment horizontal="left"/>
    </xf>
    <xf numFmtId="164" fontId="62" fillId="0" borderId="0" xfId="2" applyNumberFormat="1" applyFont="1"/>
    <xf numFmtId="164" fontId="62" fillId="0" borderId="0" xfId="2" applyNumberFormat="1" applyFont="1" applyAlignment="1">
      <alignment horizontal="center"/>
    </xf>
    <xf numFmtId="43" fontId="62" fillId="0" borderId="0" xfId="2" applyNumberFormat="1" applyFo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mruColors>
      <color rgb="FFCC00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workbookViewId="0">
      <selection activeCell="Z20" sqref="Z20:Z21"/>
    </sheetView>
  </sheetViews>
  <sheetFormatPr defaultRowHeight="15" x14ac:dyDescent="0.25"/>
  <cols>
    <col min="4" max="4" width="9.85546875" bestFit="1" customWidth="1"/>
    <col min="5" max="5" width="1" customWidth="1"/>
    <col min="6" max="6" width="12" style="1" customWidth="1"/>
    <col min="7" max="7" width="10.85546875" style="1" customWidth="1"/>
    <col min="8" max="8" width="11.42578125" hidden="1" customWidth="1"/>
    <col min="9" max="9" width="10.42578125" style="1" hidden="1" customWidth="1"/>
    <col min="10" max="11" width="10.85546875" style="1" hidden="1" customWidth="1"/>
    <col min="12" max="12" width="10" hidden="1" customWidth="1"/>
    <col min="13" max="13" width="10.85546875" hidden="1" customWidth="1"/>
    <col min="14" max="14" width="12.5703125" hidden="1" customWidth="1"/>
    <col min="15" max="16" width="0.85546875" hidden="1" customWidth="1"/>
    <col min="17" max="17" width="0.7109375" hidden="1" customWidth="1"/>
    <col min="18" max="20" width="0.85546875" hidden="1" customWidth="1"/>
    <col min="21" max="21" width="11.28515625" style="1" customWidth="1"/>
    <col min="22" max="22" width="12" style="1" customWidth="1"/>
    <col min="23" max="23" width="16.140625" style="1" customWidth="1"/>
  </cols>
  <sheetData>
    <row r="1" spans="1:23" ht="6" customHeight="1" x14ac:dyDescent="0.25"/>
    <row r="2" spans="1:23" ht="21" customHeight="1" x14ac:dyDescent="0.25">
      <c r="A2" s="2"/>
      <c r="B2" s="3"/>
      <c r="C2" s="4"/>
      <c r="D2" s="4"/>
      <c r="E2" s="4"/>
      <c r="F2" s="5"/>
      <c r="G2" s="6" t="s">
        <v>0</v>
      </c>
      <c r="H2" s="6"/>
      <c r="I2" s="6"/>
      <c r="J2" s="6"/>
      <c r="K2" s="6"/>
      <c r="L2" s="6"/>
      <c r="M2" s="7"/>
      <c r="N2" s="8"/>
      <c r="O2" s="8"/>
      <c r="P2" s="8"/>
      <c r="Q2" s="8"/>
      <c r="R2" s="8"/>
      <c r="S2" s="8"/>
      <c r="T2" s="8"/>
      <c r="U2" s="8"/>
    </row>
    <row r="3" spans="1:23" ht="37.5" customHeight="1" x14ac:dyDescent="0.3">
      <c r="A3" s="418" t="s">
        <v>1</v>
      </c>
      <c r="B3" s="419"/>
      <c r="C3" s="419"/>
      <c r="D3" s="419"/>
      <c r="E3" s="420"/>
      <c r="F3" s="401" t="s">
        <v>2</v>
      </c>
      <c r="G3" s="401" t="s">
        <v>2</v>
      </c>
      <c r="H3" s="9" t="s">
        <v>3</v>
      </c>
      <c r="I3" s="399" t="s">
        <v>4</v>
      </c>
      <c r="J3" s="399" t="s">
        <v>5</v>
      </c>
      <c r="K3" s="399" t="s">
        <v>6</v>
      </c>
      <c r="L3" s="399" t="s">
        <v>7</v>
      </c>
      <c r="M3" s="10" t="s">
        <v>8</v>
      </c>
      <c r="N3" s="10" t="s">
        <v>9</v>
      </c>
      <c r="O3" s="9"/>
      <c r="P3" s="9"/>
      <c r="Q3" s="9"/>
      <c r="R3" s="9"/>
      <c r="S3" s="11"/>
      <c r="T3" s="11"/>
      <c r="U3" s="401" t="s">
        <v>10</v>
      </c>
      <c r="V3" s="401" t="s">
        <v>11</v>
      </c>
      <c r="W3" s="411" t="s">
        <v>12</v>
      </c>
    </row>
    <row r="4" spans="1:23" ht="0.75" customHeight="1" x14ac:dyDescent="0.25">
      <c r="A4" s="12"/>
      <c r="B4" s="13"/>
      <c r="C4" s="13"/>
      <c r="D4" s="13"/>
      <c r="E4" s="13"/>
      <c r="F4" s="402"/>
      <c r="G4" s="402"/>
      <c r="H4" s="14" t="s">
        <v>13</v>
      </c>
      <c r="I4" s="400"/>
      <c r="J4" s="400"/>
      <c r="K4" s="400"/>
      <c r="L4" s="400"/>
      <c r="M4" s="15" t="s">
        <v>8</v>
      </c>
      <c r="N4" s="15" t="s">
        <v>9</v>
      </c>
      <c r="O4" s="16" t="s">
        <v>14</v>
      </c>
      <c r="P4" s="16" t="s">
        <v>15</v>
      </c>
      <c r="Q4" s="16" t="s">
        <v>16</v>
      </c>
      <c r="R4" s="16" t="s">
        <v>17</v>
      </c>
      <c r="S4" s="17" t="s">
        <v>18</v>
      </c>
      <c r="T4" s="17" t="s">
        <v>19</v>
      </c>
      <c r="U4" s="402"/>
      <c r="V4" s="410"/>
      <c r="W4" s="412"/>
    </row>
    <row r="5" spans="1:23" ht="15.75" x14ac:dyDescent="0.25">
      <c r="A5" s="18" t="s">
        <v>20</v>
      </c>
      <c r="B5" s="19"/>
      <c r="C5" s="19"/>
      <c r="D5" s="19"/>
      <c r="E5" s="19"/>
      <c r="F5" s="20">
        <v>25090303</v>
      </c>
      <c r="G5" s="21">
        <f>F5/12</f>
        <v>2090858.5833333333</v>
      </c>
      <c r="H5" s="22"/>
      <c r="I5" s="23">
        <v>2150745</v>
      </c>
      <c r="J5" s="23">
        <v>2150245</v>
      </c>
      <c r="K5" s="23">
        <v>1812865</v>
      </c>
      <c r="L5" s="22">
        <v>1921915</v>
      </c>
      <c r="M5" s="24">
        <v>2257168</v>
      </c>
      <c r="N5" s="25">
        <v>1834383</v>
      </c>
      <c r="O5" s="26"/>
      <c r="P5" s="26"/>
      <c r="Q5" s="26"/>
      <c r="R5" s="26"/>
      <c r="S5" s="27"/>
      <c r="T5" s="27"/>
      <c r="U5" s="28">
        <f t="shared" ref="U5:U31" si="0">SUM(I5:T5)</f>
        <v>12127321</v>
      </c>
      <c r="V5" s="29">
        <f>G5*6</f>
        <v>12545151.5</v>
      </c>
      <c r="W5" s="30">
        <f>U5-V5</f>
        <v>-417830.5</v>
      </c>
    </row>
    <row r="6" spans="1:23" ht="15.75" x14ac:dyDescent="0.25">
      <c r="A6" s="18" t="s">
        <v>21</v>
      </c>
      <c r="B6" s="19"/>
      <c r="C6" s="19"/>
      <c r="D6" s="19"/>
      <c r="E6" s="19"/>
      <c r="F6" s="31"/>
      <c r="G6" s="31"/>
      <c r="H6" s="32"/>
      <c r="I6" s="31"/>
      <c r="J6" s="31"/>
      <c r="K6" s="31"/>
      <c r="L6" s="32"/>
      <c r="M6" s="33"/>
      <c r="N6" s="33"/>
      <c r="O6" s="32"/>
      <c r="P6" s="32"/>
      <c r="Q6" s="32"/>
      <c r="R6" s="32"/>
      <c r="S6" s="34"/>
      <c r="T6" s="27"/>
      <c r="U6" s="28">
        <f t="shared" si="0"/>
        <v>0</v>
      </c>
      <c r="V6" s="29"/>
      <c r="W6" s="35"/>
    </row>
    <row r="7" spans="1:23" ht="15.75" x14ac:dyDescent="0.25">
      <c r="A7" s="18" t="s">
        <v>22</v>
      </c>
      <c r="B7" s="19"/>
      <c r="C7" s="19"/>
      <c r="D7" s="19"/>
      <c r="E7" s="19"/>
      <c r="F7" s="36">
        <v>200000</v>
      </c>
      <c r="G7" s="37">
        <f>F7/12</f>
        <v>16666.666666666668</v>
      </c>
      <c r="H7" s="26"/>
      <c r="I7" s="23">
        <f>35940+340</f>
        <v>36280</v>
      </c>
      <c r="J7" s="23">
        <v>58470</v>
      </c>
      <c r="K7" s="23">
        <v>37120</v>
      </c>
      <c r="L7" s="22">
        <v>28150</v>
      </c>
      <c r="M7" s="24">
        <v>55530</v>
      </c>
      <c r="N7" s="25">
        <v>37600</v>
      </c>
      <c r="O7" s="26"/>
      <c r="P7" s="26"/>
      <c r="Q7" s="26"/>
      <c r="R7" s="26"/>
      <c r="S7" s="27"/>
      <c r="T7" s="27"/>
      <c r="U7" s="28">
        <f t="shared" si="0"/>
        <v>253150</v>
      </c>
      <c r="V7" s="29">
        <f>G7*6</f>
        <v>100000</v>
      </c>
      <c r="W7" s="30">
        <f>U7-V7</f>
        <v>153150</v>
      </c>
    </row>
    <row r="8" spans="1:23" ht="15.75" x14ac:dyDescent="0.25">
      <c r="A8" s="18" t="s">
        <v>23</v>
      </c>
      <c r="B8" s="19"/>
      <c r="C8" s="19"/>
      <c r="D8" s="19"/>
      <c r="E8" s="19"/>
      <c r="F8" s="31"/>
      <c r="G8" s="31"/>
      <c r="H8" s="32"/>
      <c r="I8" s="38"/>
      <c r="J8" s="38"/>
      <c r="K8" s="38"/>
      <c r="L8" s="26"/>
      <c r="M8" s="39"/>
      <c r="N8" s="39"/>
      <c r="O8" s="26"/>
      <c r="P8" s="26"/>
      <c r="Q8" s="26"/>
      <c r="R8" s="26"/>
      <c r="S8" s="27"/>
      <c r="T8" s="27"/>
      <c r="U8" s="28">
        <f t="shared" si="0"/>
        <v>0</v>
      </c>
      <c r="V8" s="29"/>
      <c r="W8" s="40"/>
    </row>
    <row r="9" spans="1:23" ht="15.75" x14ac:dyDescent="0.25">
      <c r="A9" s="41" t="s">
        <v>24</v>
      </c>
      <c r="B9" s="42"/>
      <c r="C9" s="43"/>
      <c r="D9" s="43"/>
      <c r="E9" s="43"/>
      <c r="F9" s="44"/>
      <c r="G9" s="44"/>
      <c r="H9" s="41"/>
      <c r="I9" s="45">
        <f>15000+99836+10860+240</f>
        <v>125936</v>
      </c>
      <c r="J9" s="45">
        <v>15240</v>
      </c>
      <c r="K9" s="46">
        <v>15240</v>
      </c>
      <c r="L9" s="47">
        <v>107699</v>
      </c>
      <c r="M9" s="48">
        <v>26100</v>
      </c>
      <c r="N9" s="49">
        <v>15240</v>
      </c>
      <c r="O9" s="41"/>
      <c r="P9" s="41"/>
      <c r="Q9" s="50"/>
      <c r="R9" s="41"/>
      <c r="S9" s="51"/>
      <c r="T9" s="51"/>
      <c r="U9" s="52">
        <f t="shared" si="0"/>
        <v>305455</v>
      </c>
      <c r="V9" s="53">
        <f>G9*5</f>
        <v>0</v>
      </c>
      <c r="W9" s="54">
        <f>U9-V9</f>
        <v>305455</v>
      </c>
    </row>
    <row r="10" spans="1:23" ht="15.75" x14ac:dyDescent="0.25">
      <c r="A10" s="413" t="s">
        <v>25</v>
      </c>
      <c r="B10" s="414"/>
      <c r="C10" s="414"/>
      <c r="D10" s="414"/>
      <c r="E10" s="415"/>
      <c r="F10" s="55">
        <f t="shared" ref="F10:N10" si="1">SUM(F5:F9)</f>
        <v>25290303</v>
      </c>
      <c r="G10" s="56">
        <f t="shared" si="1"/>
        <v>2107525.25</v>
      </c>
      <c r="H10" s="57">
        <f>SUM(H5:H9)</f>
        <v>0</v>
      </c>
      <c r="I10" s="58">
        <f t="shared" si="1"/>
        <v>2312961</v>
      </c>
      <c r="J10" s="58">
        <f t="shared" si="1"/>
        <v>2223955</v>
      </c>
      <c r="K10" s="58">
        <f t="shared" si="1"/>
        <v>1865225</v>
      </c>
      <c r="L10" s="58">
        <f t="shared" si="1"/>
        <v>2057764</v>
      </c>
      <c r="M10" s="58">
        <f t="shared" si="1"/>
        <v>2338798</v>
      </c>
      <c r="N10" s="58">
        <f t="shared" si="1"/>
        <v>1887223</v>
      </c>
      <c r="O10" s="59"/>
      <c r="P10" s="59"/>
      <c r="Q10" s="59"/>
      <c r="R10" s="59"/>
      <c r="S10" s="60"/>
      <c r="T10" s="60"/>
      <c r="U10" s="61">
        <f>SUM(I10:T10)</f>
        <v>12685926</v>
      </c>
      <c r="V10" s="29">
        <f>G10*6</f>
        <v>12645151.5</v>
      </c>
      <c r="W10" s="62">
        <f>U10-V10</f>
        <v>40774.5</v>
      </c>
    </row>
    <row r="11" spans="1:23" ht="33" customHeight="1" x14ac:dyDescent="0.3">
      <c r="A11" s="416" t="s">
        <v>26</v>
      </c>
      <c r="B11" s="417"/>
      <c r="C11" s="417"/>
      <c r="D11" s="417"/>
      <c r="E11" s="417"/>
      <c r="F11" s="63"/>
      <c r="G11" s="63"/>
      <c r="H11" s="64"/>
      <c r="I11" s="63"/>
      <c r="J11" s="63"/>
      <c r="K11" s="63"/>
      <c r="L11" s="64"/>
      <c r="M11" s="65"/>
      <c r="N11" s="65"/>
      <c r="O11" s="64"/>
      <c r="P11" s="64"/>
      <c r="Q11" s="64"/>
      <c r="R11" s="64"/>
      <c r="S11" s="66"/>
      <c r="T11" s="66"/>
      <c r="U11" s="67"/>
      <c r="V11" s="68"/>
      <c r="W11" s="69" t="s">
        <v>27</v>
      </c>
    </row>
    <row r="12" spans="1:23" ht="15.75" x14ac:dyDescent="0.25">
      <c r="A12" s="70" t="s">
        <v>28</v>
      </c>
      <c r="B12" s="71"/>
      <c r="C12" s="71"/>
      <c r="D12" s="71"/>
      <c r="E12" s="71"/>
      <c r="F12" s="20">
        <v>900000</v>
      </c>
      <c r="G12" s="21">
        <f t="shared" ref="G12:G31" si="2">F12/12</f>
        <v>75000</v>
      </c>
      <c r="H12" s="32"/>
      <c r="I12" s="72" t="e">
        <f>'общехоз расходы'!#REF!</f>
        <v>#REF!</v>
      </c>
      <c r="J12" s="72" t="e">
        <f>'общехоз расходы'!#REF!</f>
        <v>#REF!</v>
      </c>
      <c r="K12" s="72" t="e">
        <f>'общехоз расходы'!#REF!</f>
        <v>#REF!</v>
      </c>
      <c r="L12" s="72" t="e">
        <f>'общехоз расходы'!#REF!</f>
        <v>#REF!</v>
      </c>
      <c r="M12" s="72" t="e">
        <f>'общехоз расходы'!#REF!</f>
        <v>#REF!</v>
      </c>
      <c r="N12" s="72">
        <f>'общехоз расходы'!B85</f>
        <v>0</v>
      </c>
      <c r="O12" s="26"/>
      <c r="P12" s="26"/>
      <c r="Q12" s="26"/>
      <c r="R12" s="26"/>
      <c r="S12" s="27"/>
      <c r="T12" s="27"/>
      <c r="U12" s="28" t="e">
        <f t="shared" si="0"/>
        <v>#REF!</v>
      </c>
      <c r="V12" s="29">
        <f t="shared" ref="V12:V31" si="3">G12*6</f>
        <v>450000</v>
      </c>
      <c r="W12" s="73" t="e">
        <f t="shared" ref="W12:W31" si="4">V12-U12</f>
        <v>#REF!</v>
      </c>
    </row>
    <row r="13" spans="1:23" ht="15.75" x14ac:dyDescent="0.25">
      <c r="A13" s="12" t="s">
        <v>29</v>
      </c>
      <c r="B13" s="13"/>
      <c r="C13" s="13"/>
      <c r="D13" s="13"/>
      <c r="E13" s="13"/>
      <c r="F13" s="55">
        <v>160000</v>
      </c>
      <c r="G13" s="21">
        <f t="shared" si="2"/>
        <v>13333.333333333334</v>
      </c>
      <c r="H13" s="74"/>
      <c r="I13" s="75" t="e">
        <f>'прогр обесп'!#REF!</f>
        <v>#REF!</v>
      </c>
      <c r="J13" s="75" t="e">
        <f>'прогр обесп'!#REF!</f>
        <v>#REF!</v>
      </c>
      <c r="K13" s="75" t="e">
        <f>'прогр обесп'!#REF!</f>
        <v>#REF!</v>
      </c>
      <c r="L13" s="75" t="e">
        <f>'прогр обесп'!#REF!</f>
        <v>#REF!</v>
      </c>
      <c r="M13" s="75" t="e">
        <f>'прогр обесп'!#REF!</f>
        <v>#REF!</v>
      </c>
      <c r="N13" s="75">
        <f>'прогр обесп'!B10</f>
        <v>0</v>
      </c>
      <c r="O13" s="59"/>
      <c r="P13" s="59"/>
      <c r="Q13" s="59"/>
      <c r="R13" s="59"/>
      <c r="S13" s="60"/>
      <c r="T13" s="60"/>
      <c r="U13" s="28" t="e">
        <f t="shared" si="0"/>
        <v>#REF!</v>
      </c>
      <c r="V13" s="29">
        <f t="shared" si="3"/>
        <v>80000</v>
      </c>
      <c r="W13" s="73" t="e">
        <f t="shared" si="4"/>
        <v>#REF!</v>
      </c>
    </row>
    <row r="14" spans="1:23" ht="15.75" x14ac:dyDescent="0.25">
      <c r="A14" s="70" t="s">
        <v>30</v>
      </c>
      <c r="B14" s="71"/>
      <c r="C14" s="71"/>
      <c r="D14" s="71"/>
      <c r="E14" s="76"/>
      <c r="F14" s="20">
        <v>140000</v>
      </c>
      <c r="G14" s="21">
        <f t="shared" si="2"/>
        <v>11666.666666666666</v>
      </c>
      <c r="H14" s="32"/>
      <c r="I14" s="72" t="e">
        <f>связь!#REF!</f>
        <v>#REF!</v>
      </c>
      <c r="J14" s="72" t="e">
        <f>связь!#REF!</f>
        <v>#REF!</v>
      </c>
      <c r="K14" s="72" t="e">
        <f>связь!#REF!</f>
        <v>#REF!</v>
      </c>
      <c r="L14" s="72" t="e">
        <f>связь!#REF!</f>
        <v>#REF!</v>
      </c>
      <c r="M14" s="72" t="e">
        <f>связь!#REF!</f>
        <v>#REF!</v>
      </c>
      <c r="N14" s="72">
        <f>связь!B11</f>
        <v>7500</v>
      </c>
      <c r="O14" s="26"/>
      <c r="P14" s="26"/>
      <c r="Q14" s="26"/>
      <c r="R14" s="26"/>
      <c r="S14" s="27"/>
      <c r="T14" s="27"/>
      <c r="U14" s="28" t="e">
        <f t="shared" si="0"/>
        <v>#REF!</v>
      </c>
      <c r="V14" s="29">
        <f t="shared" si="3"/>
        <v>70000</v>
      </c>
      <c r="W14" s="73" t="e">
        <f t="shared" si="4"/>
        <v>#REF!</v>
      </c>
    </row>
    <row r="15" spans="1:23" ht="15.75" x14ac:dyDescent="0.25">
      <c r="A15" s="12" t="s">
        <v>31</v>
      </c>
      <c r="B15" s="13"/>
      <c r="C15" s="13"/>
      <c r="D15" s="13"/>
      <c r="E15" s="77"/>
      <c r="F15" s="55">
        <v>300000</v>
      </c>
      <c r="G15" s="21">
        <f t="shared" si="2"/>
        <v>25000</v>
      </c>
      <c r="H15" s="74"/>
      <c r="I15" s="75" t="e">
        <f>#REF!</f>
        <v>#REF!</v>
      </c>
      <c r="J15" s="75" t="e">
        <f>#REF!</f>
        <v>#REF!</v>
      </c>
      <c r="K15" s="75" t="e">
        <f>#REF!</f>
        <v>#REF!</v>
      </c>
      <c r="L15" s="75" t="e">
        <f>#REF!</f>
        <v>#REF!</v>
      </c>
      <c r="M15" s="75" t="e">
        <f>'прогр обесп'!#REF!</f>
        <v>#REF!</v>
      </c>
      <c r="N15" s="75">
        <f>'прогр обесп'!B12</f>
        <v>0</v>
      </c>
      <c r="O15" s="59"/>
      <c r="P15" s="59"/>
      <c r="Q15" s="59"/>
      <c r="R15" s="59"/>
      <c r="S15" s="60"/>
      <c r="T15" s="60"/>
      <c r="U15" s="28" t="e">
        <f t="shared" si="0"/>
        <v>#REF!</v>
      </c>
      <c r="V15" s="29">
        <f t="shared" si="3"/>
        <v>150000</v>
      </c>
      <c r="W15" s="73" t="e">
        <f t="shared" si="4"/>
        <v>#REF!</v>
      </c>
    </row>
    <row r="16" spans="1:23" ht="15.75" x14ac:dyDescent="0.25">
      <c r="A16" s="12" t="s">
        <v>32</v>
      </c>
      <c r="B16" s="13"/>
      <c r="C16" s="13"/>
      <c r="D16" s="13"/>
      <c r="E16" s="77"/>
      <c r="F16" s="55">
        <v>7890000</v>
      </c>
      <c r="G16" s="21">
        <f t="shared" si="2"/>
        <v>657500</v>
      </c>
      <c r="H16" s="74"/>
      <c r="I16" s="75" t="e">
        <f>'з пл'!#REF!</f>
        <v>#REF!</v>
      </c>
      <c r="J16" s="75" t="e">
        <f>'з пл'!#REF!</f>
        <v>#REF!</v>
      </c>
      <c r="K16" s="75" t="e">
        <f>'з пл'!#REF!</f>
        <v>#REF!</v>
      </c>
      <c r="L16" s="75" t="e">
        <f>'з пл'!#REF!</f>
        <v>#REF!</v>
      </c>
      <c r="M16" s="75" t="e">
        <f>'з пл'!#REF!</f>
        <v>#REF!</v>
      </c>
      <c r="N16" s="75">
        <f>'з пл'!B6</f>
        <v>728320</v>
      </c>
      <c r="O16" s="59"/>
      <c r="P16" s="59"/>
      <c r="Q16" s="59"/>
      <c r="R16" s="59"/>
      <c r="S16" s="60"/>
      <c r="T16" s="60"/>
      <c r="U16" s="28" t="e">
        <f t="shared" si="0"/>
        <v>#REF!</v>
      </c>
      <c r="V16" s="29">
        <f t="shared" si="3"/>
        <v>3945000</v>
      </c>
      <c r="W16" s="73" t="e">
        <f t="shared" si="4"/>
        <v>#REF!</v>
      </c>
    </row>
    <row r="17" spans="1:24" ht="15.75" x14ac:dyDescent="0.25">
      <c r="A17" s="12" t="s">
        <v>33</v>
      </c>
      <c r="B17" s="13"/>
      <c r="C17" s="13"/>
      <c r="D17" s="13"/>
      <c r="E17" s="13"/>
      <c r="F17" s="55">
        <v>500000</v>
      </c>
      <c r="G17" s="21">
        <f t="shared" si="2"/>
        <v>41666.666666666664</v>
      </c>
      <c r="H17" s="74"/>
      <c r="I17" s="75" t="e">
        <f>премии!#REF!</f>
        <v>#REF!</v>
      </c>
      <c r="J17" s="75" t="e">
        <f>премии!#REF!</f>
        <v>#REF!</v>
      </c>
      <c r="K17" s="75" t="e">
        <f>премии!#REF!</f>
        <v>#REF!</v>
      </c>
      <c r="L17" s="75" t="e">
        <f>премии!#REF!</f>
        <v>#REF!</v>
      </c>
      <c r="M17" s="75" t="e">
        <f>премии!#REF!</f>
        <v>#REF!</v>
      </c>
      <c r="N17" s="75">
        <f>премии!B5</f>
        <v>177200</v>
      </c>
      <c r="O17" s="59"/>
      <c r="P17" s="59"/>
      <c r="Q17" s="59"/>
      <c r="R17" s="59"/>
      <c r="S17" s="60"/>
      <c r="T17" s="60"/>
      <c r="U17" s="28" t="e">
        <f t="shared" si="0"/>
        <v>#REF!</v>
      </c>
      <c r="V17" s="29">
        <f t="shared" si="3"/>
        <v>250000</v>
      </c>
      <c r="W17" s="73" t="e">
        <f t="shared" si="4"/>
        <v>#REF!</v>
      </c>
    </row>
    <row r="18" spans="1:24" ht="15.75" x14ac:dyDescent="0.25">
      <c r="A18" s="12" t="s">
        <v>34</v>
      </c>
      <c r="B18" s="13"/>
      <c r="C18" s="13"/>
      <c r="D18" s="13"/>
      <c r="E18" s="13"/>
      <c r="F18" s="55">
        <v>2517000</v>
      </c>
      <c r="G18" s="21">
        <f t="shared" si="2"/>
        <v>209750</v>
      </c>
      <c r="H18" s="74"/>
      <c r="I18" s="75" t="e">
        <f>'налог с ФОТ'!#REF!</f>
        <v>#REF!</v>
      </c>
      <c r="J18" s="75" t="e">
        <f>'налог с ФОТ'!#REF!</f>
        <v>#REF!</v>
      </c>
      <c r="K18" s="75" t="e">
        <f>'налог с ФОТ'!#REF!</f>
        <v>#REF!</v>
      </c>
      <c r="L18" s="75" t="e">
        <f>'налог с ФОТ'!#REF!</f>
        <v>#REF!</v>
      </c>
      <c r="M18" s="75" t="e">
        <f>'налог с ФОТ'!#REF!</f>
        <v>#REF!</v>
      </c>
      <c r="N18" s="75">
        <f>'налог с ФОТ'!B6</f>
        <v>339561</v>
      </c>
      <c r="O18" s="59"/>
      <c r="P18" s="59"/>
      <c r="Q18" s="59"/>
      <c r="R18" s="59"/>
      <c r="S18" s="60"/>
      <c r="T18" s="60"/>
      <c r="U18" s="28" t="e">
        <f t="shared" si="0"/>
        <v>#REF!</v>
      </c>
      <c r="V18" s="29">
        <f t="shared" si="3"/>
        <v>1258500</v>
      </c>
      <c r="W18" s="73" t="e">
        <f t="shared" si="4"/>
        <v>#REF!</v>
      </c>
    </row>
    <row r="19" spans="1:24" ht="15.75" x14ac:dyDescent="0.25">
      <c r="A19" s="12" t="s">
        <v>35</v>
      </c>
      <c r="B19" s="13"/>
      <c r="C19" s="13"/>
      <c r="D19" s="13"/>
      <c r="E19" s="13"/>
      <c r="F19" s="55">
        <v>200000</v>
      </c>
      <c r="G19" s="21">
        <f t="shared" si="2"/>
        <v>16666.666666666668</v>
      </c>
      <c r="H19" s="74"/>
      <c r="I19" s="75" t="e">
        <f>#REF!</f>
        <v>#REF!</v>
      </c>
      <c r="J19" s="75" t="e">
        <f>#REF!</f>
        <v>#REF!</v>
      </c>
      <c r="K19" s="75" t="e">
        <f>#REF!</f>
        <v>#REF!</v>
      </c>
      <c r="L19" s="75" t="e">
        <f>#REF!</f>
        <v>#REF!</v>
      </c>
      <c r="M19" s="75" t="e">
        <f>#REF!</f>
        <v>#REF!</v>
      </c>
      <c r="N19" s="75" t="e">
        <f>#REF!</f>
        <v>#REF!</v>
      </c>
      <c r="O19" s="59"/>
      <c r="P19" s="59"/>
      <c r="Q19" s="59"/>
      <c r="R19" s="59"/>
      <c r="S19" s="60"/>
      <c r="T19" s="60"/>
      <c r="U19" s="28" t="e">
        <f t="shared" si="0"/>
        <v>#REF!</v>
      </c>
      <c r="V19" s="29">
        <f t="shared" si="3"/>
        <v>100000</v>
      </c>
      <c r="W19" s="73" t="e">
        <f t="shared" si="4"/>
        <v>#REF!</v>
      </c>
    </row>
    <row r="20" spans="1:24" ht="15.75" x14ac:dyDescent="0.25">
      <c r="A20" s="70" t="s">
        <v>36</v>
      </c>
      <c r="B20" s="71"/>
      <c r="C20" s="71"/>
      <c r="D20" s="71"/>
      <c r="E20" s="71"/>
      <c r="F20" s="20">
        <v>1950000</v>
      </c>
      <c r="G20" s="21">
        <f t="shared" si="2"/>
        <v>162500</v>
      </c>
      <c r="H20" s="32"/>
      <c r="I20" s="72" t="e">
        <f>мусор!#REF!</f>
        <v>#REF!</v>
      </c>
      <c r="J20" s="72" t="e">
        <f>мусор!#REF!</f>
        <v>#REF!</v>
      </c>
      <c r="K20" s="72" t="e">
        <f>мусор!#REF!</f>
        <v>#REF!</v>
      </c>
      <c r="L20" s="72" t="e">
        <f>мусор!#REF!</f>
        <v>#REF!</v>
      </c>
      <c r="M20" s="72" t="e">
        <f>мусор!#REF!</f>
        <v>#REF!</v>
      </c>
      <c r="N20" s="72">
        <f>мусор!B10</f>
        <v>846038</v>
      </c>
      <c r="O20" s="26"/>
      <c r="P20" s="26"/>
      <c r="Q20" s="26"/>
      <c r="R20" s="26"/>
      <c r="S20" s="27"/>
      <c r="T20" s="27"/>
      <c r="U20" s="28" t="e">
        <f t="shared" si="0"/>
        <v>#REF!</v>
      </c>
      <c r="V20" s="29">
        <f t="shared" si="3"/>
        <v>975000</v>
      </c>
      <c r="W20" s="73" t="e">
        <f t="shared" si="4"/>
        <v>#REF!</v>
      </c>
    </row>
    <row r="21" spans="1:24" ht="15.75" x14ac:dyDescent="0.25">
      <c r="A21" s="70" t="s">
        <v>37</v>
      </c>
      <c r="B21" s="71"/>
      <c r="C21" s="71"/>
      <c r="D21" s="71"/>
      <c r="E21" s="76"/>
      <c r="F21" s="20">
        <v>7400000</v>
      </c>
      <c r="G21" s="21">
        <f t="shared" si="2"/>
        <v>616666.66666666663</v>
      </c>
      <c r="H21" s="32"/>
      <c r="I21" s="72" t="e">
        <f>#REF!</f>
        <v>#REF!</v>
      </c>
      <c r="J21" s="72" t="e">
        <f>#REF!</f>
        <v>#REF!</v>
      </c>
      <c r="K21" s="72" t="e">
        <f>#REF!</f>
        <v>#REF!</v>
      </c>
      <c r="L21" s="72" t="e">
        <f>#REF!</f>
        <v>#REF!</v>
      </c>
      <c r="M21" s="72" t="e">
        <f>#REF!</f>
        <v>#REF!</v>
      </c>
      <c r="N21" s="72" t="e">
        <f>#REF!</f>
        <v>#REF!</v>
      </c>
      <c r="O21" s="26"/>
      <c r="P21" s="26"/>
      <c r="Q21" s="26"/>
      <c r="R21" s="26"/>
      <c r="S21" s="27"/>
      <c r="T21" s="27"/>
      <c r="U21" s="28" t="e">
        <f t="shared" si="0"/>
        <v>#REF!</v>
      </c>
      <c r="V21" s="29">
        <f t="shared" si="3"/>
        <v>3700000</v>
      </c>
      <c r="W21" s="73" t="e">
        <f t="shared" si="4"/>
        <v>#REF!</v>
      </c>
    </row>
    <row r="22" spans="1:24" ht="15.75" x14ac:dyDescent="0.25">
      <c r="A22" s="12" t="s">
        <v>38</v>
      </c>
      <c r="B22" s="13"/>
      <c r="C22" s="13"/>
      <c r="D22" s="13"/>
      <c r="E22" s="13"/>
      <c r="F22" s="55">
        <v>230000</v>
      </c>
      <c r="G22" s="21">
        <f t="shared" si="2"/>
        <v>19166.666666666668</v>
      </c>
      <c r="H22" s="74"/>
      <c r="I22" s="75" t="e">
        <f>#REF!</f>
        <v>#REF!</v>
      </c>
      <c r="J22" s="75" t="e">
        <f>#REF!</f>
        <v>#REF!</v>
      </c>
      <c r="K22" s="75" t="e">
        <f>#REF!</f>
        <v>#REF!</v>
      </c>
      <c r="L22" s="75" t="e">
        <f>#REF!</f>
        <v>#REF!</v>
      </c>
      <c r="M22" s="75" t="e">
        <f>#REF!</f>
        <v>#REF!</v>
      </c>
      <c r="N22" s="75" t="e">
        <f>#REF!</f>
        <v>#REF!</v>
      </c>
      <c r="O22" s="59"/>
      <c r="P22" s="59"/>
      <c r="Q22" s="59"/>
      <c r="R22" s="59"/>
      <c r="S22" s="60"/>
      <c r="T22" s="60"/>
      <c r="U22" s="28" t="e">
        <f t="shared" si="0"/>
        <v>#REF!</v>
      </c>
      <c r="V22" s="29">
        <f t="shared" si="3"/>
        <v>115000</v>
      </c>
      <c r="W22" s="73" t="e">
        <f t="shared" si="4"/>
        <v>#REF!</v>
      </c>
    </row>
    <row r="23" spans="1:24" ht="15.75" x14ac:dyDescent="0.25">
      <c r="A23" s="70" t="s">
        <v>39</v>
      </c>
      <c r="B23" s="71"/>
      <c r="C23" s="71"/>
      <c r="D23" s="71"/>
      <c r="E23" s="71"/>
      <c r="F23" s="20">
        <v>1240000</v>
      </c>
      <c r="G23" s="21">
        <f t="shared" si="2"/>
        <v>103333.33333333333</v>
      </c>
      <c r="H23" s="32"/>
      <c r="I23" s="72" t="e">
        <f>вода!#REF!</f>
        <v>#REF!</v>
      </c>
      <c r="J23" s="72" t="e">
        <f>вода!#REF!</f>
        <v>#REF!</v>
      </c>
      <c r="K23" s="72" t="e">
        <f>вода!#REF!</f>
        <v>#REF!</v>
      </c>
      <c r="L23" s="72" t="e">
        <f>вода!#REF!</f>
        <v>#REF!</v>
      </c>
      <c r="M23" s="72" t="e">
        <f>вода!#REF!</f>
        <v>#REF!</v>
      </c>
      <c r="N23" s="72">
        <f>вода!B50</f>
        <v>0</v>
      </c>
      <c r="O23" s="26"/>
      <c r="P23" s="26"/>
      <c r="Q23" s="26"/>
      <c r="R23" s="26"/>
      <c r="S23" s="27"/>
      <c r="T23" s="27"/>
      <c r="U23" s="28" t="e">
        <f t="shared" si="0"/>
        <v>#REF!</v>
      </c>
      <c r="V23" s="29">
        <f t="shared" si="3"/>
        <v>620000</v>
      </c>
      <c r="W23" s="73" t="e">
        <f t="shared" si="4"/>
        <v>#REF!</v>
      </c>
    </row>
    <row r="24" spans="1:24" ht="15.75" x14ac:dyDescent="0.25">
      <c r="A24" s="70" t="s">
        <v>40</v>
      </c>
      <c r="B24" s="71"/>
      <c r="C24" s="71"/>
      <c r="D24" s="71"/>
      <c r="E24" s="71"/>
      <c r="F24" s="20">
        <f>250000+480000</f>
        <v>730000</v>
      </c>
      <c r="G24" s="21">
        <f t="shared" si="2"/>
        <v>60833.333333333336</v>
      </c>
      <c r="H24" s="32"/>
      <c r="I24" s="72" t="e">
        <f>#REF!</f>
        <v>#REF!</v>
      </c>
      <c r="J24" s="72" t="e">
        <f>#REF!</f>
        <v>#REF!</v>
      </c>
      <c r="K24" s="72" t="e">
        <f>#REF!</f>
        <v>#REF!</v>
      </c>
      <c r="L24" s="72" t="e">
        <f>#REF!</f>
        <v>#REF!</v>
      </c>
      <c r="M24" s="72" t="e">
        <f>#REF!</f>
        <v>#REF!</v>
      </c>
      <c r="N24" s="72" t="e">
        <f>#REF!</f>
        <v>#REF!</v>
      </c>
      <c r="O24" s="26"/>
      <c r="P24" s="26"/>
      <c r="Q24" s="26"/>
      <c r="R24" s="26"/>
      <c r="S24" s="27"/>
      <c r="T24" s="27"/>
      <c r="U24" s="28" t="e">
        <f t="shared" si="0"/>
        <v>#REF!</v>
      </c>
      <c r="V24" s="29">
        <f t="shared" si="3"/>
        <v>365000</v>
      </c>
      <c r="W24" s="73" t="e">
        <f t="shared" si="4"/>
        <v>#REF!</v>
      </c>
    </row>
    <row r="25" spans="1:24" ht="15.75" x14ac:dyDescent="0.25">
      <c r="A25" s="70" t="s">
        <v>41</v>
      </c>
      <c r="B25" s="71"/>
      <c r="C25" s="71"/>
      <c r="D25" s="71"/>
      <c r="E25" s="71"/>
      <c r="F25" s="20">
        <v>250000</v>
      </c>
      <c r="G25" s="21">
        <f t="shared" si="2"/>
        <v>20833.333333333332</v>
      </c>
      <c r="H25" s="32"/>
      <c r="I25" s="72" t="e">
        <f>#REF!</f>
        <v>#REF!</v>
      </c>
      <c r="J25" s="72" t="e">
        <f>#REF!</f>
        <v>#REF!</v>
      </c>
      <c r="K25" s="72" t="e">
        <f>#REF!</f>
        <v>#REF!</v>
      </c>
      <c r="L25" s="72" t="e">
        <f>#REF!</f>
        <v>#REF!</v>
      </c>
      <c r="M25" s="72" t="e">
        <f>#REF!</f>
        <v>#REF!</v>
      </c>
      <c r="N25" s="72" t="e">
        <f>#REF!</f>
        <v>#REF!</v>
      </c>
      <c r="O25" s="26"/>
      <c r="P25" s="26"/>
      <c r="Q25" s="26"/>
      <c r="R25" s="26"/>
      <c r="S25" s="27"/>
      <c r="T25" s="27"/>
      <c r="U25" s="28" t="e">
        <f t="shared" si="0"/>
        <v>#REF!</v>
      </c>
      <c r="V25" s="29">
        <f t="shared" si="3"/>
        <v>125000</v>
      </c>
      <c r="W25" s="73" t="e">
        <f t="shared" si="4"/>
        <v>#REF!</v>
      </c>
    </row>
    <row r="26" spans="1:24" ht="15.75" x14ac:dyDescent="0.25">
      <c r="A26" s="70" t="s">
        <v>42</v>
      </c>
      <c r="B26" s="71"/>
      <c r="C26" s="71"/>
      <c r="D26" s="71"/>
      <c r="E26" s="71"/>
      <c r="F26" s="20">
        <v>1800000</v>
      </c>
      <c r="G26" s="21">
        <f t="shared" si="2"/>
        <v>150000</v>
      </c>
      <c r="H26" s="32"/>
      <c r="I26" s="72" t="e">
        <f>эл.снабж!#REF!</f>
        <v>#REF!</v>
      </c>
      <c r="J26" s="72" t="e">
        <f>эл.снабж!#REF!</f>
        <v>#REF!</v>
      </c>
      <c r="K26" s="72" t="e">
        <f>эл.снабж!#REF!</f>
        <v>#REF!</v>
      </c>
      <c r="L26" s="72" t="e">
        <f>эл.снабж!#REF!</f>
        <v>#REF!</v>
      </c>
      <c r="M26" s="72" t="e">
        <f>эл.снабж!#REF!</f>
        <v>#REF!</v>
      </c>
      <c r="N26" s="72">
        <f>эл.снабж!B77</f>
        <v>271712</v>
      </c>
      <c r="O26" s="26"/>
      <c r="P26" s="26"/>
      <c r="Q26" s="26"/>
      <c r="R26" s="26"/>
      <c r="S26" s="27"/>
      <c r="T26" s="27"/>
      <c r="U26" s="28" t="e">
        <f t="shared" si="0"/>
        <v>#REF!</v>
      </c>
      <c r="V26" s="29">
        <f t="shared" si="3"/>
        <v>900000</v>
      </c>
      <c r="W26" s="73" t="e">
        <f t="shared" si="4"/>
        <v>#REF!</v>
      </c>
    </row>
    <row r="27" spans="1:24" ht="15.75" x14ac:dyDescent="0.25">
      <c r="A27" s="70" t="s">
        <v>43</v>
      </c>
      <c r="B27" s="71"/>
      <c r="C27" s="71"/>
      <c r="D27" s="71"/>
      <c r="E27" s="71"/>
      <c r="F27" s="20">
        <v>1700000</v>
      </c>
      <c r="G27" s="21">
        <f t="shared" si="2"/>
        <v>141666.66666666666</v>
      </c>
      <c r="H27" s="32"/>
      <c r="I27" s="72" t="e">
        <f>#REF!</f>
        <v>#REF!</v>
      </c>
      <c r="J27" s="72" t="e">
        <f>#REF!</f>
        <v>#REF!</v>
      </c>
      <c r="K27" s="72" t="e">
        <f>#REF!</f>
        <v>#REF!</v>
      </c>
      <c r="L27" s="72" t="e">
        <f>#REF!</f>
        <v>#REF!</v>
      </c>
      <c r="M27" s="72" t="e">
        <f>#REF!</f>
        <v>#REF!</v>
      </c>
      <c r="N27" s="72" t="e">
        <f>#REF!</f>
        <v>#REF!</v>
      </c>
      <c r="O27" s="26"/>
      <c r="P27" s="26"/>
      <c r="Q27" s="26"/>
      <c r="R27" s="26"/>
      <c r="S27" s="27"/>
      <c r="T27" s="27"/>
      <c r="U27" s="28" t="e">
        <f t="shared" si="0"/>
        <v>#REF!</v>
      </c>
      <c r="V27" s="29">
        <f t="shared" si="3"/>
        <v>850000</v>
      </c>
      <c r="W27" s="73" t="e">
        <f t="shared" si="4"/>
        <v>#REF!</v>
      </c>
    </row>
    <row r="28" spans="1:24" ht="15.75" x14ac:dyDescent="0.25">
      <c r="A28" s="70" t="s">
        <v>44</v>
      </c>
      <c r="B28" s="71"/>
      <c r="C28" s="71"/>
      <c r="D28" s="71"/>
      <c r="E28" s="71"/>
      <c r="F28" s="20">
        <v>600000</v>
      </c>
      <c r="G28" s="21">
        <f t="shared" si="2"/>
        <v>50000</v>
      </c>
      <c r="H28" s="32"/>
      <c r="I28" s="72" t="e">
        <f>'спец авто транспорт'!#REF!</f>
        <v>#REF!</v>
      </c>
      <c r="J28" s="72" t="e">
        <f>'спец авто транспорт'!#REF!</f>
        <v>#REF!</v>
      </c>
      <c r="K28" s="72" t="e">
        <f>'спец авто транспорт'!#REF!</f>
        <v>#REF!</v>
      </c>
      <c r="L28" s="72" t="e">
        <f>'спец авто транспорт'!#REF!</f>
        <v>#REF!</v>
      </c>
      <c r="M28" s="72" t="e">
        <f>'спец авто транспорт'!#REF!</f>
        <v>#REF!</v>
      </c>
      <c r="N28" s="72">
        <f>'спец авто транспорт'!B48</f>
        <v>22848</v>
      </c>
      <c r="O28" s="26"/>
      <c r="P28" s="26"/>
      <c r="Q28" s="26"/>
      <c r="R28" s="26"/>
      <c r="S28" s="27"/>
      <c r="T28" s="27"/>
      <c r="U28" s="28" t="e">
        <f t="shared" si="0"/>
        <v>#REF!</v>
      </c>
      <c r="V28" s="29">
        <f t="shared" si="3"/>
        <v>300000</v>
      </c>
      <c r="W28" s="73" t="e">
        <f t="shared" si="4"/>
        <v>#REF!</v>
      </c>
    </row>
    <row r="29" spans="1:24" ht="15.75" x14ac:dyDescent="0.25">
      <c r="A29" s="70" t="s">
        <v>45</v>
      </c>
      <c r="B29" s="71"/>
      <c r="C29" s="71"/>
      <c r="D29" s="71"/>
      <c r="E29" s="71"/>
      <c r="F29" s="20">
        <v>250000</v>
      </c>
      <c r="G29" s="21">
        <f t="shared" si="2"/>
        <v>20833.333333333332</v>
      </c>
      <c r="H29" s="32"/>
      <c r="I29" s="72" t="e">
        <f>'благ-во'!#REF!</f>
        <v>#REF!</v>
      </c>
      <c r="J29" s="72" t="e">
        <f>'благ-во'!#REF!</f>
        <v>#REF!</v>
      </c>
      <c r="K29" s="72" t="e">
        <f>'благ-во'!#REF!</f>
        <v>#REF!</v>
      </c>
      <c r="L29" s="72" t="e">
        <f>'благ-во'!#REF!</f>
        <v>#REF!</v>
      </c>
      <c r="M29" s="72" t="e">
        <f>'благ-во'!#REF!</f>
        <v>#REF!</v>
      </c>
      <c r="N29" s="72">
        <f>'благ-во'!B62</f>
        <v>0</v>
      </c>
      <c r="O29" s="26"/>
      <c r="P29" s="26"/>
      <c r="Q29" s="26"/>
      <c r="R29" s="26"/>
      <c r="S29" s="27"/>
      <c r="T29" s="27"/>
      <c r="U29" s="28" t="e">
        <f t="shared" si="0"/>
        <v>#REF!</v>
      </c>
      <c r="V29" s="29">
        <f t="shared" si="3"/>
        <v>125000</v>
      </c>
      <c r="W29" s="73" t="e">
        <f t="shared" si="4"/>
        <v>#REF!</v>
      </c>
    </row>
    <row r="30" spans="1:24" ht="15.75" x14ac:dyDescent="0.25">
      <c r="A30" s="70" t="s">
        <v>46</v>
      </c>
      <c r="B30" s="71"/>
      <c r="C30" s="71"/>
      <c r="D30" s="71"/>
      <c r="E30" s="71"/>
      <c r="F30" s="20">
        <v>719200</v>
      </c>
      <c r="G30" s="21">
        <f t="shared" si="2"/>
        <v>59933.333333333336</v>
      </c>
      <c r="H30" s="32"/>
      <c r="I30" s="72" t="e">
        <f>#REF!</f>
        <v>#REF!</v>
      </c>
      <c r="J30" s="72" t="e">
        <f>#REF!</f>
        <v>#REF!</v>
      </c>
      <c r="K30" s="72" t="e">
        <f>#REF!</f>
        <v>#REF!</v>
      </c>
      <c r="L30" s="72" t="e">
        <f>#REF!</f>
        <v>#REF!</v>
      </c>
      <c r="M30" s="72" t="e">
        <f>#REF!</f>
        <v>#REF!</v>
      </c>
      <c r="N30" s="72" t="e">
        <f>#REF!</f>
        <v>#REF!</v>
      </c>
      <c r="O30" s="26"/>
      <c r="P30" s="26"/>
      <c r="Q30" s="26"/>
      <c r="R30" s="26"/>
      <c r="S30" s="27"/>
      <c r="T30" s="27"/>
      <c r="U30" s="28" t="e">
        <f t="shared" si="0"/>
        <v>#REF!</v>
      </c>
      <c r="V30" s="29">
        <f t="shared" si="3"/>
        <v>359600</v>
      </c>
      <c r="W30" s="73" t="e">
        <f t="shared" si="4"/>
        <v>#REF!</v>
      </c>
    </row>
    <row r="31" spans="1:24" ht="15.75" x14ac:dyDescent="0.25">
      <c r="A31" s="78" t="s">
        <v>47</v>
      </c>
      <c r="B31" s="79"/>
      <c r="C31" s="79"/>
      <c r="D31" s="79"/>
      <c r="E31" s="79"/>
      <c r="F31" s="80">
        <v>1473800</v>
      </c>
      <c r="G31" s="81">
        <f t="shared" si="2"/>
        <v>122816.66666666667</v>
      </c>
      <c r="H31" s="41"/>
      <c r="I31" s="82" t="e">
        <f>'рез фонд'!#REF!</f>
        <v>#REF!</v>
      </c>
      <c r="J31" s="82" t="e">
        <f>'рез фонд'!#REF!</f>
        <v>#REF!</v>
      </c>
      <c r="K31" s="82" t="e">
        <f>'рез фонд'!#REF!</f>
        <v>#REF!</v>
      </c>
      <c r="L31" s="82" t="e">
        <f>'рез фонд'!#REF!</f>
        <v>#REF!</v>
      </c>
      <c r="M31" s="82" t="e">
        <f>'рез фонд'!#REF!</f>
        <v>#REF!</v>
      </c>
      <c r="N31" s="82">
        <f>'рез фонд'!B55</f>
        <v>190814</v>
      </c>
      <c r="O31" s="50"/>
      <c r="P31" s="50"/>
      <c r="Q31" s="50"/>
      <c r="R31" s="50"/>
      <c r="S31" s="83"/>
      <c r="T31" s="83"/>
      <c r="U31" s="52" t="e">
        <f t="shared" si="0"/>
        <v>#REF!</v>
      </c>
      <c r="V31" s="29">
        <f t="shared" si="3"/>
        <v>736900</v>
      </c>
      <c r="W31" s="84" t="e">
        <f t="shared" si="4"/>
        <v>#REF!</v>
      </c>
      <c r="X31" s="85"/>
    </row>
    <row r="32" spans="1:24" ht="15.75" x14ac:dyDescent="0.25">
      <c r="A32" s="403" t="s">
        <v>48</v>
      </c>
      <c r="B32" s="404"/>
      <c r="C32" s="404"/>
      <c r="D32" s="404"/>
      <c r="E32" s="405"/>
      <c r="F32" s="55">
        <f>SUM(F12:F31)</f>
        <v>30950000</v>
      </c>
      <c r="G32" s="56">
        <f>SUM(G12:G31)</f>
        <v>2579166.6666666665</v>
      </c>
      <c r="H32" s="74"/>
      <c r="I32" s="86" t="e">
        <f>SUM(I12:I31)</f>
        <v>#REF!</v>
      </c>
      <c r="J32" s="86" t="e">
        <f>SUM(J12:J31)</f>
        <v>#REF!</v>
      </c>
      <c r="K32" s="86" t="e">
        <f t="shared" ref="K32:U32" si="5">SUM(K12:K31)</f>
        <v>#REF!</v>
      </c>
      <c r="L32" s="87" t="e">
        <f t="shared" si="5"/>
        <v>#REF!</v>
      </c>
      <c r="M32" s="88" t="e">
        <f t="shared" si="5"/>
        <v>#REF!</v>
      </c>
      <c r="N32" s="88" t="e">
        <f t="shared" si="5"/>
        <v>#REF!</v>
      </c>
      <c r="O32" s="59">
        <f t="shared" si="5"/>
        <v>0</v>
      </c>
      <c r="P32" s="59">
        <f t="shared" si="5"/>
        <v>0</v>
      </c>
      <c r="Q32" s="59">
        <f t="shared" si="5"/>
        <v>0</v>
      </c>
      <c r="R32" s="59">
        <f t="shared" si="5"/>
        <v>0</v>
      </c>
      <c r="S32" s="60">
        <f t="shared" si="5"/>
        <v>0</v>
      </c>
      <c r="T32" s="60">
        <f t="shared" si="5"/>
        <v>0</v>
      </c>
      <c r="U32" s="61" t="e">
        <f t="shared" si="5"/>
        <v>#REF!</v>
      </c>
      <c r="V32" s="29">
        <f>G32*5</f>
        <v>12895833.333333332</v>
      </c>
      <c r="W32" s="89" t="e">
        <f>SUM(W12:W31)</f>
        <v>#REF!</v>
      </c>
    </row>
    <row r="34" spans="1:23" x14ac:dyDescent="0.25">
      <c r="A34" s="406" t="s">
        <v>49</v>
      </c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  <c r="V34" s="90"/>
      <c r="W34" s="90"/>
    </row>
    <row r="35" spans="1:23" x14ac:dyDescent="0.25">
      <c r="A35" s="407" t="s">
        <v>50</v>
      </c>
      <c r="B35" s="408"/>
      <c r="C35" s="408"/>
      <c r="D35" s="408"/>
      <c r="E35" s="408"/>
      <c r="F35" s="409"/>
      <c r="G35" s="409"/>
      <c r="H35" s="408"/>
      <c r="I35" s="409"/>
      <c r="J35" s="409"/>
      <c r="K35" s="409"/>
      <c r="L35" s="408"/>
      <c r="M35" s="91"/>
      <c r="N35" s="91"/>
      <c r="O35" s="91"/>
      <c r="P35" s="91"/>
      <c r="Q35" s="91"/>
      <c r="R35" s="91"/>
      <c r="S35" s="91"/>
      <c r="T35" s="91"/>
      <c r="U35" s="92"/>
      <c r="V35" s="90"/>
      <c r="W35" s="90"/>
    </row>
    <row r="36" spans="1:23" x14ac:dyDescent="0.25">
      <c r="A36" s="390" t="s">
        <v>51</v>
      </c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2"/>
      <c r="V36" s="90"/>
      <c r="W36" s="90"/>
    </row>
    <row r="37" spans="1:23" x14ac:dyDescent="0.25">
      <c r="A37" s="93"/>
      <c r="B37" s="93"/>
      <c r="C37" s="93"/>
      <c r="D37" s="93"/>
      <c r="E37" s="93"/>
      <c r="F37" s="90"/>
      <c r="G37" s="90"/>
      <c r="H37" s="93"/>
      <c r="I37" s="90"/>
      <c r="J37" s="90"/>
      <c r="K37" s="90"/>
      <c r="L37" s="93"/>
      <c r="M37" s="93"/>
      <c r="N37" s="93"/>
      <c r="O37" s="93"/>
      <c r="P37" s="93"/>
      <c r="Q37" s="93"/>
      <c r="R37" s="93"/>
      <c r="S37" s="93"/>
      <c r="T37" s="93"/>
      <c r="U37" s="90"/>
      <c r="V37" s="90"/>
      <c r="W37" s="90"/>
    </row>
    <row r="38" spans="1:23" x14ac:dyDescent="0.25">
      <c r="A38" s="393"/>
      <c r="B38" s="394"/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5"/>
      <c r="V38" s="90"/>
      <c r="W38" s="90"/>
    </row>
    <row r="39" spans="1:23" x14ac:dyDescent="0.25">
      <c r="A39" s="396"/>
      <c r="B39" s="397"/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8"/>
      <c r="V39" s="90"/>
      <c r="W39" s="90"/>
    </row>
    <row r="40" spans="1:23" x14ac:dyDescent="0.25">
      <c r="A40" s="93"/>
      <c r="B40" s="93"/>
      <c r="C40" s="93"/>
      <c r="D40" s="93"/>
      <c r="E40" s="93"/>
      <c r="F40" s="90"/>
      <c r="G40" s="90"/>
      <c r="H40" s="93"/>
      <c r="I40" s="90"/>
      <c r="J40" s="90"/>
      <c r="K40" s="90"/>
      <c r="L40" s="93"/>
      <c r="M40" s="93"/>
      <c r="N40" s="93"/>
      <c r="O40" s="93"/>
      <c r="P40" s="93"/>
      <c r="Q40" s="93"/>
      <c r="R40" s="93"/>
      <c r="S40" s="93"/>
      <c r="T40" s="93"/>
      <c r="U40" s="90"/>
      <c r="V40" s="90"/>
      <c r="W40" s="90"/>
    </row>
    <row r="41" spans="1:23" x14ac:dyDescent="0.25">
      <c r="A41" s="93"/>
      <c r="B41" s="93"/>
      <c r="C41" s="93"/>
      <c r="D41" s="93"/>
      <c r="E41" s="93"/>
      <c r="F41" s="90"/>
      <c r="G41" s="90"/>
      <c r="H41" s="93"/>
      <c r="I41" s="90"/>
      <c r="J41" s="90"/>
      <c r="K41" s="90"/>
      <c r="L41" s="93"/>
      <c r="M41" s="93"/>
      <c r="N41" s="93"/>
      <c r="O41" s="93"/>
      <c r="P41" s="93"/>
      <c r="Q41" s="93"/>
      <c r="R41" s="93"/>
      <c r="S41" s="93"/>
      <c r="T41" s="93"/>
      <c r="U41" s="90"/>
      <c r="V41" s="90"/>
      <c r="W41" s="90"/>
    </row>
    <row r="42" spans="1:23" x14ac:dyDescent="0.25">
      <c r="A42" s="93"/>
      <c r="B42" s="93"/>
      <c r="C42" s="93"/>
      <c r="D42" s="93"/>
      <c r="E42" s="93"/>
      <c r="F42" s="90"/>
      <c r="G42" s="90"/>
      <c r="H42" s="93"/>
      <c r="I42" s="90"/>
      <c r="J42" s="90"/>
      <c r="K42" s="90"/>
      <c r="L42" s="93"/>
      <c r="M42" s="93"/>
      <c r="N42" s="93"/>
      <c r="O42" s="93"/>
      <c r="P42" s="93"/>
      <c r="Q42" s="93"/>
      <c r="R42" s="93"/>
      <c r="S42" s="93"/>
      <c r="T42" s="93"/>
      <c r="U42" s="90"/>
      <c r="V42" s="90"/>
      <c r="W42" s="90"/>
    </row>
    <row r="43" spans="1:23" x14ac:dyDescent="0.25">
      <c r="A43" s="93"/>
      <c r="B43" s="93"/>
      <c r="C43" s="93"/>
      <c r="D43" s="93"/>
      <c r="E43" s="93"/>
      <c r="F43" s="90"/>
      <c r="G43" s="90"/>
      <c r="H43" s="93"/>
      <c r="I43" s="90"/>
      <c r="J43" s="90"/>
      <c r="K43" s="90"/>
      <c r="L43" s="93"/>
      <c r="M43" s="93"/>
      <c r="N43" s="93"/>
      <c r="O43" s="93"/>
      <c r="P43" s="93"/>
      <c r="Q43" s="93"/>
      <c r="R43" s="93"/>
      <c r="S43" s="93"/>
      <c r="T43" s="93"/>
      <c r="U43" s="90"/>
      <c r="V43" s="90"/>
      <c r="W43" s="90"/>
    </row>
    <row r="44" spans="1:23" x14ac:dyDescent="0.25">
      <c r="A44" s="93"/>
      <c r="B44" s="93"/>
      <c r="C44" s="93"/>
      <c r="D44" s="93"/>
      <c r="E44" s="93"/>
      <c r="F44" s="90"/>
      <c r="G44" s="90"/>
      <c r="H44" s="93"/>
      <c r="I44" s="90"/>
      <c r="J44" s="90"/>
      <c r="K44" s="90"/>
      <c r="L44" s="93"/>
      <c r="M44" s="93"/>
      <c r="N44" s="93"/>
      <c r="O44" s="93"/>
      <c r="P44" s="93"/>
      <c r="Q44" s="93"/>
      <c r="R44" s="93"/>
      <c r="S44" s="93"/>
      <c r="T44" s="93"/>
      <c r="U44" s="90"/>
      <c r="V44" s="90"/>
      <c r="W44" s="90"/>
    </row>
    <row r="45" spans="1:23" x14ac:dyDescent="0.25">
      <c r="A45" s="93"/>
      <c r="B45" s="93"/>
      <c r="C45" s="93"/>
      <c r="D45" s="93"/>
      <c r="E45" s="93"/>
      <c r="F45" s="90"/>
      <c r="G45" s="90"/>
      <c r="H45" s="93"/>
      <c r="I45" s="90"/>
      <c r="J45" s="90"/>
      <c r="K45" s="90"/>
      <c r="L45" s="93"/>
      <c r="M45" s="93"/>
      <c r="N45" s="93"/>
      <c r="O45" s="93"/>
      <c r="P45" s="93"/>
      <c r="Q45" s="93"/>
      <c r="R45" s="93"/>
      <c r="S45" s="93"/>
      <c r="T45" s="93"/>
      <c r="U45" s="90"/>
      <c r="V45" s="90"/>
      <c r="W45" s="90"/>
    </row>
    <row r="46" spans="1:23" x14ac:dyDescent="0.25">
      <c r="A46" s="93"/>
      <c r="B46" s="93"/>
      <c r="C46" s="93"/>
      <c r="D46" s="93"/>
      <c r="E46" s="93"/>
      <c r="F46" s="90"/>
      <c r="G46" s="90"/>
      <c r="H46" s="93"/>
      <c r="I46" s="90"/>
      <c r="J46" s="90"/>
      <c r="K46" s="90"/>
      <c r="L46" s="93"/>
      <c r="M46" s="93"/>
      <c r="N46" s="93"/>
      <c r="O46" s="93"/>
      <c r="P46" s="93"/>
      <c r="Q46" s="93"/>
      <c r="R46" s="93"/>
      <c r="S46" s="93"/>
      <c r="T46" s="93"/>
      <c r="U46" s="90"/>
      <c r="V46" s="90"/>
      <c r="W46" s="90"/>
    </row>
    <row r="47" spans="1:23" x14ac:dyDescent="0.25">
      <c r="A47" s="93"/>
      <c r="B47" s="93"/>
      <c r="C47" s="93"/>
      <c r="D47" s="93"/>
      <c r="E47" s="93"/>
      <c r="F47" s="90"/>
      <c r="G47" s="90"/>
      <c r="H47" s="93"/>
      <c r="I47" s="90"/>
      <c r="J47" s="90"/>
      <c r="K47" s="90"/>
      <c r="L47" s="93"/>
      <c r="M47" s="93"/>
      <c r="N47" s="93"/>
      <c r="O47" s="93"/>
      <c r="P47" s="93"/>
      <c r="Q47" s="93"/>
      <c r="R47" s="93"/>
      <c r="S47" s="93"/>
      <c r="T47" s="93"/>
      <c r="U47" s="90"/>
      <c r="V47" s="90"/>
      <c r="W47" s="90"/>
    </row>
    <row r="48" spans="1:23" x14ac:dyDescent="0.25">
      <c r="A48" s="93"/>
      <c r="B48" s="93"/>
      <c r="C48" s="93"/>
      <c r="D48" s="93"/>
      <c r="E48" s="93"/>
      <c r="F48" s="90"/>
      <c r="G48" s="90"/>
      <c r="H48" s="93"/>
      <c r="I48" s="90"/>
      <c r="J48" s="90"/>
      <c r="K48" s="90"/>
      <c r="L48" s="93"/>
      <c r="M48" s="93"/>
      <c r="N48" s="93"/>
      <c r="O48" s="93"/>
      <c r="P48" s="93"/>
      <c r="Q48" s="93"/>
      <c r="R48" s="93"/>
      <c r="S48" s="93"/>
      <c r="T48" s="93"/>
      <c r="U48" s="90"/>
      <c r="V48" s="90"/>
      <c r="W48" s="90"/>
    </row>
    <row r="49" spans="1:23" x14ac:dyDescent="0.25">
      <c r="A49" s="93"/>
      <c r="B49" s="93"/>
      <c r="C49" s="93"/>
      <c r="D49" s="93"/>
      <c r="E49" s="93"/>
      <c r="F49" s="90"/>
      <c r="G49" s="90"/>
      <c r="H49" s="93"/>
      <c r="I49" s="90"/>
      <c r="J49" s="90"/>
      <c r="K49" s="90"/>
      <c r="L49" s="93"/>
      <c r="M49" s="93"/>
      <c r="N49" s="93"/>
      <c r="O49" s="93"/>
      <c r="P49" s="93"/>
      <c r="Q49" s="93"/>
      <c r="R49" s="93"/>
      <c r="S49" s="93"/>
      <c r="T49" s="93"/>
      <c r="U49" s="90"/>
      <c r="V49" s="90"/>
      <c r="W49" s="90"/>
    </row>
    <row r="50" spans="1:23" x14ac:dyDescent="0.25">
      <c r="A50" s="93"/>
      <c r="B50" s="93"/>
      <c r="C50" s="93"/>
      <c r="D50" s="93"/>
      <c r="E50" s="93"/>
      <c r="F50" s="90"/>
      <c r="G50" s="90"/>
      <c r="H50" s="93"/>
      <c r="I50" s="90"/>
      <c r="J50" s="90"/>
      <c r="K50" s="90"/>
      <c r="L50" s="93"/>
      <c r="M50" s="93"/>
      <c r="N50" s="93"/>
      <c r="O50" s="93"/>
      <c r="P50" s="93"/>
      <c r="Q50" s="93"/>
      <c r="R50" s="93"/>
      <c r="S50" s="93"/>
      <c r="T50" s="93"/>
      <c r="U50" s="90"/>
      <c r="V50" s="90"/>
      <c r="W50" s="90"/>
    </row>
    <row r="51" spans="1:23" x14ac:dyDescent="0.25">
      <c r="A51" s="93"/>
      <c r="B51" s="93"/>
      <c r="C51" s="93"/>
      <c r="D51" s="93"/>
      <c r="E51" s="93"/>
      <c r="F51" s="90"/>
      <c r="G51" s="90"/>
      <c r="H51" s="93"/>
      <c r="I51" s="90"/>
      <c r="J51" s="90"/>
      <c r="K51" s="90"/>
      <c r="L51" s="93"/>
      <c r="M51" s="93"/>
      <c r="N51" s="93"/>
      <c r="O51" s="93"/>
      <c r="P51" s="93"/>
      <c r="Q51" s="93"/>
      <c r="R51" s="93"/>
      <c r="S51" s="93"/>
      <c r="T51" s="93"/>
      <c r="U51" s="90"/>
      <c r="V51" s="90"/>
      <c r="W51" s="90"/>
    </row>
    <row r="52" spans="1:23" x14ac:dyDescent="0.25">
      <c r="A52" s="93"/>
      <c r="B52" s="93"/>
      <c r="C52" s="93"/>
      <c r="D52" s="93"/>
      <c r="E52" s="93"/>
      <c r="F52" s="90"/>
      <c r="G52" s="90"/>
      <c r="H52" s="93"/>
      <c r="I52" s="90"/>
      <c r="J52" s="90"/>
      <c r="K52" s="90"/>
      <c r="L52" s="93"/>
      <c r="M52" s="93"/>
      <c r="N52" s="93"/>
      <c r="O52" s="93"/>
      <c r="P52" s="93"/>
      <c r="Q52" s="93"/>
      <c r="R52" s="93"/>
      <c r="S52" s="93"/>
      <c r="T52" s="93"/>
      <c r="U52" s="90"/>
      <c r="V52" s="90"/>
      <c r="W52" s="90"/>
    </row>
    <row r="53" spans="1:23" x14ac:dyDescent="0.25">
      <c r="A53" s="93"/>
      <c r="B53" s="93"/>
      <c r="C53" s="93"/>
      <c r="D53" s="93"/>
      <c r="E53" s="93"/>
      <c r="F53" s="90"/>
      <c r="G53" s="90"/>
      <c r="H53" s="93"/>
      <c r="I53" s="90"/>
      <c r="J53" s="90"/>
      <c r="K53" s="90"/>
      <c r="L53" s="93"/>
      <c r="M53" s="93"/>
      <c r="N53" s="93"/>
      <c r="O53" s="93"/>
      <c r="P53" s="93"/>
      <c r="Q53" s="93"/>
      <c r="R53" s="93"/>
      <c r="S53" s="93"/>
      <c r="T53" s="93"/>
      <c r="U53" s="90"/>
      <c r="V53" s="90"/>
      <c r="W53" s="90"/>
    </row>
    <row r="54" spans="1:23" x14ac:dyDescent="0.25">
      <c r="A54" s="93"/>
      <c r="B54" s="93"/>
      <c r="C54" s="93"/>
      <c r="D54" s="93"/>
      <c r="E54" s="93"/>
      <c r="F54" s="90"/>
      <c r="G54" s="90"/>
      <c r="H54" s="93"/>
      <c r="I54" s="90"/>
      <c r="J54" s="90"/>
      <c r="K54" s="90"/>
      <c r="L54" s="93"/>
      <c r="M54" s="93"/>
      <c r="N54" s="93"/>
      <c r="O54" s="93"/>
      <c r="P54" s="93"/>
      <c r="Q54" s="93"/>
      <c r="R54" s="93"/>
      <c r="S54" s="93"/>
      <c r="T54" s="93"/>
      <c r="U54" s="90"/>
      <c r="V54" s="90"/>
      <c r="W54" s="90"/>
    </row>
    <row r="55" spans="1:23" x14ac:dyDescent="0.25">
      <c r="I55" s="90"/>
    </row>
  </sheetData>
  <mergeCells count="18">
    <mergeCell ref="V3:V4"/>
    <mergeCell ref="W3:W4"/>
    <mergeCell ref="A10:E10"/>
    <mergeCell ref="A11:E11"/>
    <mergeCell ref="A3:E3"/>
    <mergeCell ref="F3:F4"/>
    <mergeCell ref="G3:G4"/>
    <mergeCell ref="I3:I4"/>
    <mergeCell ref="J3:J4"/>
    <mergeCell ref="K3:K4"/>
    <mergeCell ref="A36:U36"/>
    <mergeCell ref="A38:U38"/>
    <mergeCell ref="A39:U39"/>
    <mergeCell ref="L3:L4"/>
    <mergeCell ref="U3:U4"/>
    <mergeCell ref="A32:E32"/>
    <mergeCell ref="A34:U34"/>
    <mergeCell ref="A35:L35"/>
  </mergeCells>
  <phoneticPr fontId="28" type="noConversion"/>
  <pageMargins left="0.70866141732283472" right="0.70866141732283472" top="0" bottom="0" header="0" footer="0"/>
  <pageSetup paperSize="9" scale="91" firstPageNumber="4294967295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N12"/>
  <sheetViews>
    <sheetView workbookViewId="0">
      <selection activeCell="A39" sqref="A39"/>
    </sheetView>
  </sheetViews>
  <sheetFormatPr defaultRowHeight="15" x14ac:dyDescent="0.25"/>
  <cols>
    <col min="1" max="1" width="38" bestFit="1" customWidth="1"/>
    <col min="2" max="4" width="12.85546875" bestFit="1" customWidth="1"/>
    <col min="5" max="7" width="10.28515625" bestFit="1" customWidth="1"/>
    <col min="8" max="8" width="12.85546875" bestFit="1" customWidth="1"/>
    <col min="9" max="13" width="12.85546875" customWidth="1"/>
    <col min="14" max="14" width="14.5703125" bestFit="1" customWidth="1"/>
  </cols>
  <sheetData>
    <row r="1" spans="1:14" x14ac:dyDescent="0.25">
      <c r="A1" s="155" t="s">
        <v>36</v>
      </c>
      <c r="B1" s="135" t="str">
        <f>'ВСЕ затраты'!B1</f>
        <v>2025-2026гг.</v>
      </c>
      <c r="C1" s="161"/>
      <c r="D1" s="161"/>
      <c r="E1" s="161"/>
      <c r="F1" s="161"/>
      <c r="G1" s="161"/>
      <c r="H1" s="161"/>
      <c r="I1" s="342"/>
      <c r="J1" s="342"/>
      <c r="K1" s="342"/>
      <c r="L1" s="342"/>
      <c r="M1" s="342"/>
      <c r="N1" s="156"/>
    </row>
    <row r="2" spans="1:14" x14ac:dyDescent="0.25">
      <c r="A2" s="156"/>
      <c r="B2" s="172" t="s">
        <v>9</v>
      </c>
      <c r="C2" s="172" t="s">
        <v>14</v>
      </c>
      <c r="D2" s="172" t="s">
        <v>15</v>
      </c>
      <c r="E2" s="172" t="s">
        <v>16</v>
      </c>
      <c r="F2" s="172" t="s">
        <v>17</v>
      </c>
      <c r="G2" s="172" t="s">
        <v>18</v>
      </c>
      <c r="H2" s="172" t="s">
        <v>19</v>
      </c>
      <c r="I2" s="172" t="s">
        <v>4</v>
      </c>
      <c r="J2" s="172" t="s">
        <v>5</v>
      </c>
      <c r="K2" s="172" t="s">
        <v>6</v>
      </c>
      <c r="L2" s="172" t="s">
        <v>7</v>
      </c>
      <c r="M2" s="172" t="s">
        <v>8</v>
      </c>
      <c r="N2" s="172"/>
    </row>
    <row r="3" spans="1:14" x14ac:dyDescent="0.25">
      <c r="A3" s="152" t="s">
        <v>140</v>
      </c>
      <c r="B3" s="178">
        <v>790400</v>
      </c>
      <c r="C3" s="178">
        <v>577600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1:14" x14ac:dyDescent="0.25">
      <c r="A4" s="152" t="s">
        <v>149</v>
      </c>
      <c r="B4" s="178">
        <v>55638</v>
      </c>
      <c r="C4" s="178">
        <v>55638.44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" x14ac:dyDescent="0.25">
      <c r="A5" s="152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</row>
    <row r="6" spans="1:14" x14ac:dyDescent="0.25">
      <c r="A6" s="152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</row>
    <row r="7" spans="1:14" x14ac:dyDescent="0.25">
      <c r="A7" s="152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</row>
    <row r="8" spans="1:14" x14ac:dyDescent="0.25">
      <c r="A8" s="152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</row>
    <row r="9" spans="1:14" x14ac:dyDescent="0.25">
      <c r="A9" s="152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>
        <f t="shared" ref="N9" si="0">SUM(B9:M9)</f>
        <v>0</v>
      </c>
    </row>
    <row r="10" spans="1:14" x14ac:dyDescent="0.25">
      <c r="A10" s="155" t="s">
        <v>90</v>
      </c>
      <c r="B10" s="166">
        <f t="shared" ref="B10:M10" si="1">SUM(B3:B9)</f>
        <v>846038</v>
      </c>
      <c r="C10" s="166">
        <f t="shared" si="1"/>
        <v>633238.43999999994</v>
      </c>
      <c r="D10" s="166">
        <f t="shared" si="1"/>
        <v>0</v>
      </c>
      <c r="E10" s="166">
        <f t="shared" si="1"/>
        <v>0</v>
      </c>
      <c r="F10" s="166">
        <f t="shared" si="1"/>
        <v>0</v>
      </c>
      <c r="G10" s="166">
        <f t="shared" si="1"/>
        <v>0</v>
      </c>
      <c r="H10" s="166">
        <f t="shared" si="1"/>
        <v>0</v>
      </c>
      <c r="I10" s="166">
        <f t="shared" si="1"/>
        <v>0</v>
      </c>
      <c r="J10" s="166">
        <f t="shared" si="1"/>
        <v>0</v>
      </c>
      <c r="K10" s="166">
        <f>SUM(K3:K9)</f>
        <v>0</v>
      </c>
      <c r="L10" s="166">
        <f>SUM(L3:L9)</f>
        <v>0</v>
      </c>
      <c r="M10" s="166">
        <f t="shared" si="1"/>
        <v>0</v>
      </c>
      <c r="N10" s="166">
        <f>SUM(N3:N9)</f>
        <v>0</v>
      </c>
    </row>
    <row r="11" spans="1:14" x14ac:dyDescent="0.25">
      <c r="N11" s="380">
        <f>B10+C10+D10+E10+F10+G10+H10+I10+J10+K10+L10+M10</f>
        <v>1479276.44</v>
      </c>
    </row>
    <row r="12" spans="1:14" x14ac:dyDescent="0.25">
      <c r="N12" s="160">
        <f>SUM(B10:M10)-N10</f>
        <v>1479276.44</v>
      </c>
    </row>
  </sheetData>
  <phoneticPr fontId="28" type="noConversion"/>
  <pageMargins left="0.25" right="0.25" top="0.75" bottom="0.75" header="0.3" footer="0.3"/>
  <pageSetup paperSize="9" scale="71" firstPageNumber="42949672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N52"/>
  <sheetViews>
    <sheetView workbookViewId="0">
      <selection activeCell="A8" sqref="A8"/>
    </sheetView>
  </sheetViews>
  <sheetFormatPr defaultRowHeight="15" x14ac:dyDescent="0.25"/>
  <cols>
    <col min="1" max="1" width="41.5703125" customWidth="1"/>
    <col min="2" max="2" width="12.42578125" customWidth="1"/>
    <col min="3" max="4" width="10.28515625" bestFit="1" customWidth="1"/>
    <col min="5" max="5" width="11.85546875" bestFit="1" customWidth="1"/>
    <col min="10" max="10" width="10.28515625" bestFit="1" customWidth="1"/>
    <col min="11" max="11" width="13.7109375" customWidth="1"/>
    <col min="12" max="12" width="9.42578125" bestFit="1" customWidth="1"/>
    <col min="13" max="13" width="10.28515625" bestFit="1" customWidth="1"/>
    <col min="14" max="14" width="12.85546875" bestFit="1" customWidth="1"/>
  </cols>
  <sheetData>
    <row r="1" spans="1:14" x14ac:dyDescent="0.25">
      <c r="A1" s="155" t="s">
        <v>39</v>
      </c>
      <c r="B1" s="135" t="str">
        <f>'ВСЕ затраты'!B1</f>
        <v>2025-2026гг.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56"/>
    </row>
    <row r="2" spans="1:14" x14ac:dyDescent="0.25">
      <c r="A2" s="152"/>
      <c r="B2" s="140" t="s">
        <v>9</v>
      </c>
      <c r="C2" s="138" t="s">
        <v>14</v>
      </c>
      <c r="D2" s="140" t="s">
        <v>15</v>
      </c>
      <c r="E2" s="138" t="s">
        <v>16</v>
      </c>
      <c r="F2" s="140" t="s">
        <v>17</v>
      </c>
      <c r="G2" s="138" t="s">
        <v>18</v>
      </c>
      <c r="H2" s="140" t="s">
        <v>19</v>
      </c>
      <c r="I2" s="138" t="s">
        <v>4</v>
      </c>
      <c r="J2" s="140" t="s">
        <v>5</v>
      </c>
      <c r="K2" s="138" t="s">
        <v>6</v>
      </c>
      <c r="L2" s="140" t="s">
        <v>7</v>
      </c>
      <c r="M2" s="138" t="s">
        <v>8</v>
      </c>
      <c r="N2" s="138" t="s">
        <v>90</v>
      </c>
    </row>
    <row r="3" spans="1:14" x14ac:dyDescent="0.25">
      <c r="A3" s="295" t="s">
        <v>156</v>
      </c>
      <c r="B3" s="184"/>
      <c r="C3" s="184"/>
      <c r="D3" s="294"/>
      <c r="E3" s="188"/>
      <c r="F3" s="188"/>
      <c r="G3" s="294"/>
      <c r="H3" s="188"/>
      <c r="I3" s="188"/>
      <c r="J3" s="343"/>
      <c r="K3" s="184"/>
      <c r="L3" s="184"/>
      <c r="M3" s="343"/>
      <c r="N3" s="178">
        <f>SUM(B3:M3)</f>
        <v>0</v>
      </c>
    </row>
    <row r="4" spans="1:14" x14ac:dyDescent="0.25">
      <c r="A4" s="152" t="s">
        <v>209</v>
      </c>
      <c r="B4" s="188"/>
      <c r="C4" s="184">
        <v>25000</v>
      </c>
      <c r="D4" s="188"/>
      <c r="E4" s="188"/>
      <c r="F4" s="188"/>
      <c r="G4" s="188"/>
      <c r="H4" s="188"/>
      <c r="I4" s="188"/>
      <c r="J4" s="184"/>
      <c r="K4" s="184"/>
      <c r="L4" s="184"/>
      <c r="M4" s="184"/>
      <c r="N4" s="178">
        <f>SUM(B4:M4)</f>
        <v>25000</v>
      </c>
    </row>
    <row r="5" spans="1:14" x14ac:dyDescent="0.25">
      <c r="A5" s="152" t="s">
        <v>210</v>
      </c>
      <c r="B5" s="188"/>
      <c r="C5" s="184">
        <v>8472</v>
      </c>
      <c r="D5" s="188"/>
      <c r="E5" s="188"/>
      <c r="F5" s="188"/>
      <c r="G5" s="188"/>
      <c r="H5" s="188"/>
      <c r="I5" s="188"/>
      <c r="J5" s="184"/>
      <c r="K5" s="184"/>
      <c r="L5" s="184"/>
      <c r="M5" s="184"/>
      <c r="N5" s="178">
        <f>SUM(B5:M5)</f>
        <v>8472</v>
      </c>
    </row>
    <row r="6" spans="1:14" x14ac:dyDescent="0.25">
      <c r="A6" s="176" t="s">
        <v>214</v>
      </c>
      <c r="B6" s="178"/>
      <c r="C6" s="178">
        <v>810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>
        <f t="shared" ref="N6:N43" si="0">SUM(B6:M6)</f>
        <v>810</v>
      </c>
    </row>
    <row r="7" spans="1:14" ht="15" customHeight="1" x14ac:dyDescent="0.25">
      <c r="A7" s="152" t="s">
        <v>227</v>
      </c>
      <c r="B7" s="179"/>
      <c r="C7" s="178">
        <v>100</v>
      </c>
      <c r="D7" s="179"/>
      <c r="E7" s="179"/>
      <c r="F7" s="179"/>
      <c r="G7" s="179"/>
      <c r="H7" s="179"/>
      <c r="I7" s="179"/>
      <c r="J7" s="178"/>
      <c r="K7" s="178"/>
      <c r="L7" s="178"/>
      <c r="M7" s="178"/>
      <c r="N7" s="178">
        <f t="shared" si="0"/>
        <v>100</v>
      </c>
    </row>
    <row r="8" spans="1:14" ht="15" customHeight="1" x14ac:dyDescent="0.25">
      <c r="A8" s="174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>
        <f t="shared" si="0"/>
        <v>0</v>
      </c>
    </row>
    <row r="9" spans="1:14" ht="15" customHeight="1" x14ac:dyDescent="0.25">
      <c r="A9" s="174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>
        <f t="shared" si="0"/>
        <v>0</v>
      </c>
    </row>
    <row r="10" spans="1:14" ht="15" customHeight="1" x14ac:dyDescent="0.25">
      <c r="A10" s="174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</row>
    <row r="11" spans="1:14" ht="15" customHeight="1" x14ac:dyDescent="0.25">
      <c r="A11" s="161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</row>
    <row r="12" spans="1:14" ht="15" customHeight="1" x14ac:dyDescent="0.25">
      <c r="A12" s="161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4" ht="15" customHeight="1" x14ac:dyDescent="0.25">
      <c r="A13" s="165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>
        <f t="shared" si="0"/>
        <v>0</v>
      </c>
    </row>
    <row r="14" spans="1:14" ht="15" customHeight="1" x14ac:dyDescent="0.25">
      <c r="A14" s="152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>
        <f t="shared" si="0"/>
        <v>0</v>
      </c>
    </row>
    <row r="15" spans="1:14" ht="15" customHeight="1" x14ac:dyDescent="0.25">
      <c r="A15" s="152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>
        <f t="shared" si="0"/>
        <v>0</v>
      </c>
    </row>
    <row r="16" spans="1:14" ht="15" customHeight="1" x14ac:dyDescent="0.25">
      <c r="A16" s="152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>
        <f t="shared" si="0"/>
        <v>0</v>
      </c>
    </row>
    <row r="17" spans="1:14" ht="15" customHeight="1" x14ac:dyDescent="0.25">
      <c r="A17" s="152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>
        <f t="shared" si="0"/>
        <v>0</v>
      </c>
    </row>
    <row r="18" spans="1:14" ht="15" customHeight="1" x14ac:dyDescent="0.25">
      <c r="A18" s="152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>
        <f t="shared" si="0"/>
        <v>0</v>
      </c>
    </row>
    <row r="19" spans="1:14" ht="15" customHeight="1" x14ac:dyDescent="0.25">
      <c r="A19" s="152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>
        <f t="shared" si="0"/>
        <v>0</v>
      </c>
    </row>
    <row r="20" spans="1:14" ht="15" customHeight="1" x14ac:dyDescent="0.25">
      <c r="A20" s="152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>
        <f t="shared" si="0"/>
        <v>0</v>
      </c>
    </row>
    <row r="21" spans="1:14" ht="15" customHeight="1" x14ac:dyDescent="0.25">
      <c r="A21" s="152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>
        <f t="shared" si="0"/>
        <v>0</v>
      </c>
    </row>
    <row r="22" spans="1:14" ht="15" customHeight="1" x14ac:dyDescent="0.25">
      <c r="A22" s="152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>
        <f t="shared" si="0"/>
        <v>0</v>
      </c>
    </row>
    <row r="23" spans="1:14" ht="15" customHeight="1" x14ac:dyDescent="0.25">
      <c r="A23" s="152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>
        <f t="shared" si="0"/>
        <v>0</v>
      </c>
    </row>
    <row r="24" spans="1:14" ht="15" customHeight="1" x14ac:dyDescent="0.25">
      <c r="A24" s="152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>
        <f t="shared" si="0"/>
        <v>0</v>
      </c>
    </row>
    <row r="25" spans="1:14" ht="15" customHeight="1" x14ac:dyDescent="0.25">
      <c r="A25" s="175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>
        <f t="shared" si="0"/>
        <v>0</v>
      </c>
    </row>
    <row r="26" spans="1:14" ht="15" customHeight="1" x14ac:dyDescent="0.25">
      <c r="A26" s="152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>
        <f t="shared" si="0"/>
        <v>0</v>
      </c>
    </row>
    <row r="27" spans="1:14" ht="15" customHeight="1" x14ac:dyDescent="0.25">
      <c r="A27" s="152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>
        <f t="shared" si="0"/>
        <v>0</v>
      </c>
    </row>
    <row r="28" spans="1:14" ht="15" customHeight="1" x14ac:dyDescent="0.25">
      <c r="A28" s="152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>
        <f t="shared" ref="N28:N49" si="1">SUM(B28:M28)</f>
        <v>0</v>
      </c>
    </row>
    <row r="29" spans="1:14" ht="15" customHeight="1" x14ac:dyDescent="0.25">
      <c r="A29" s="152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>
        <f t="shared" si="1"/>
        <v>0</v>
      </c>
    </row>
    <row r="30" spans="1:14" ht="15" customHeight="1" x14ac:dyDescent="0.25">
      <c r="A30" s="152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>
        <f t="shared" si="1"/>
        <v>0</v>
      </c>
    </row>
    <row r="31" spans="1:14" ht="15" customHeight="1" x14ac:dyDescent="0.25">
      <c r="A31" s="152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>
        <f t="shared" si="1"/>
        <v>0</v>
      </c>
    </row>
    <row r="32" spans="1:14" ht="15" customHeight="1" x14ac:dyDescent="0.25">
      <c r="A32" s="152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>
        <f t="shared" si="0"/>
        <v>0</v>
      </c>
    </row>
    <row r="33" spans="1:14" ht="15" customHeight="1" x14ac:dyDescent="0.25">
      <c r="A33" s="152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>
        <f t="shared" si="1"/>
        <v>0</v>
      </c>
    </row>
    <row r="34" spans="1:14" ht="15" customHeight="1" x14ac:dyDescent="0.25">
      <c r="A34" s="152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>
        <f t="shared" si="1"/>
        <v>0</v>
      </c>
    </row>
    <row r="35" spans="1:14" ht="15" customHeight="1" x14ac:dyDescent="0.25">
      <c r="A35" s="152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>
        <f t="shared" si="1"/>
        <v>0</v>
      </c>
    </row>
    <row r="36" spans="1:14" ht="15" customHeight="1" x14ac:dyDescent="0.25">
      <c r="A36" s="152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>
        <f t="shared" si="1"/>
        <v>0</v>
      </c>
    </row>
    <row r="37" spans="1:14" ht="15" customHeight="1" x14ac:dyDescent="0.25">
      <c r="A37" s="152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>
        <f t="shared" si="1"/>
        <v>0</v>
      </c>
    </row>
    <row r="38" spans="1:14" ht="15" customHeight="1" x14ac:dyDescent="0.25">
      <c r="A38" s="152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>
        <f t="shared" si="1"/>
        <v>0</v>
      </c>
    </row>
    <row r="39" spans="1:14" ht="15" customHeight="1" x14ac:dyDescent="0.25">
      <c r="A39" s="152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>
        <f t="shared" si="1"/>
        <v>0</v>
      </c>
    </row>
    <row r="40" spans="1:14" ht="15" customHeight="1" x14ac:dyDescent="0.25">
      <c r="A40" s="152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>
        <f t="shared" si="1"/>
        <v>0</v>
      </c>
    </row>
    <row r="41" spans="1:14" ht="15" customHeight="1" x14ac:dyDescent="0.25">
      <c r="A41" s="152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>
        <f t="shared" si="1"/>
        <v>0</v>
      </c>
    </row>
    <row r="42" spans="1:14" ht="15" customHeight="1" x14ac:dyDescent="0.25">
      <c r="A42" s="152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>
        <f t="shared" si="1"/>
        <v>0</v>
      </c>
    </row>
    <row r="43" spans="1:14" ht="15" customHeight="1" x14ac:dyDescent="0.25">
      <c r="A43" s="152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>
        <f t="shared" si="0"/>
        <v>0</v>
      </c>
    </row>
    <row r="44" spans="1:14" ht="15" customHeight="1" x14ac:dyDescent="0.25">
      <c r="A44" s="161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78">
        <f t="shared" si="1"/>
        <v>0</v>
      </c>
    </row>
    <row r="45" spans="1:14" ht="15" customHeight="1" x14ac:dyDescent="0.25">
      <c r="A45" s="161"/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78">
        <f t="shared" si="1"/>
        <v>0</v>
      </c>
    </row>
    <row r="46" spans="1:14" ht="15" customHeight="1" x14ac:dyDescent="0.25">
      <c r="A46" s="161"/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78">
        <f t="shared" si="1"/>
        <v>0</v>
      </c>
    </row>
    <row r="47" spans="1:14" ht="15" customHeight="1" x14ac:dyDescent="0.25">
      <c r="A47" s="161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78">
        <f t="shared" si="1"/>
        <v>0</v>
      </c>
    </row>
    <row r="48" spans="1:14" ht="15" customHeight="1" x14ac:dyDescent="0.25">
      <c r="A48" s="161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78">
        <f t="shared" si="1"/>
        <v>0</v>
      </c>
    </row>
    <row r="49" spans="1:14" ht="15" customHeight="1" x14ac:dyDescent="0.25">
      <c r="A49" s="161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78">
        <f t="shared" si="1"/>
        <v>0</v>
      </c>
    </row>
    <row r="50" spans="1:14" ht="15" customHeight="1" x14ac:dyDescent="0.25">
      <c r="A50" s="155" t="s">
        <v>90</v>
      </c>
      <c r="B50" s="153">
        <f t="shared" ref="B50:L50" si="2">SUM(B3:B43)</f>
        <v>0</v>
      </c>
      <c r="C50" s="153">
        <f t="shared" si="2"/>
        <v>34382</v>
      </c>
      <c r="D50" s="153">
        <f t="shared" si="2"/>
        <v>0</v>
      </c>
      <c r="E50" s="153">
        <f t="shared" si="2"/>
        <v>0</v>
      </c>
      <c r="F50" s="153">
        <f t="shared" si="2"/>
        <v>0</v>
      </c>
      <c r="G50" s="153">
        <f t="shared" si="2"/>
        <v>0</v>
      </c>
      <c r="H50" s="153">
        <f t="shared" si="2"/>
        <v>0</v>
      </c>
      <c r="I50" s="153">
        <f t="shared" si="2"/>
        <v>0</v>
      </c>
      <c r="J50" s="153">
        <f t="shared" si="2"/>
        <v>0</v>
      </c>
      <c r="K50" s="153">
        <f t="shared" si="2"/>
        <v>0</v>
      </c>
      <c r="L50" s="153">
        <f t="shared" si="2"/>
        <v>0</v>
      </c>
      <c r="M50" s="153">
        <f>SUM(M3:M49)</f>
        <v>0</v>
      </c>
      <c r="N50" s="153">
        <f>SUM(N3:N49)</f>
        <v>34382</v>
      </c>
    </row>
    <row r="51" spans="1:14" ht="15" customHeight="1" x14ac:dyDescent="0.25">
      <c r="N51" s="380">
        <f>B50+C50+D50+E50+F50+G50+H50+I50+J50+K50+L50+M50</f>
        <v>34382</v>
      </c>
    </row>
    <row r="52" spans="1:14" x14ac:dyDescent="0.25">
      <c r="N52" s="160"/>
    </row>
  </sheetData>
  <phoneticPr fontId="28" type="noConversion"/>
  <pageMargins left="0.25" right="0.25" top="0.75" bottom="0.75" header="0.3" footer="0.3"/>
  <pageSetup paperSize="9" scale="63" firstPageNumber="42949672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N66"/>
  <sheetViews>
    <sheetView workbookViewId="0">
      <selection activeCell="C9" sqref="C9"/>
    </sheetView>
  </sheetViews>
  <sheetFormatPr defaultColWidth="9.140625" defaultRowHeight="14.25" x14ac:dyDescent="0.2"/>
  <cols>
    <col min="1" max="1" width="38.7109375" style="323" bestFit="1" customWidth="1"/>
    <col min="2" max="2" width="11.7109375" style="331" bestFit="1" customWidth="1"/>
    <col min="3" max="3" width="10.42578125" style="323" bestFit="1" customWidth="1"/>
    <col min="4" max="4" width="10.28515625" style="323" bestFit="1" customWidth="1"/>
    <col min="5" max="5" width="10.42578125" style="323" bestFit="1" customWidth="1"/>
    <col min="6" max="6" width="10.28515625" style="323" bestFit="1" customWidth="1"/>
    <col min="7" max="7" width="12.28515625" style="323" customWidth="1"/>
    <col min="8" max="8" width="10.42578125" style="323" bestFit="1" customWidth="1"/>
    <col min="9" max="9" width="11.5703125" style="323" bestFit="1" customWidth="1"/>
    <col min="10" max="11" width="10.42578125" style="323" bestFit="1" customWidth="1"/>
    <col min="12" max="13" width="9.28515625" style="323" bestFit="1" customWidth="1"/>
    <col min="14" max="14" width="12" style="323" bestFit="1" customWidth="1"/>
    <col min="15" max="16384" width="9.140625" style="323"/>
  </cols>
  <sheetData>
    <row r="1" spans="1:14" x14ac:dyDescent="0.2">
      <c r="A1" s="319" t="s">
        <v>104</v>
      </c>
      <c r="B1" s="320" t="str">
        <f>'ВСЕ затраты'!B1</f>
        <v>2025-2026гг.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</row>
    <row r="2" spans="1:14" x14ac:dyDescent="0.2">
      <c r="A2" s="322"/>
      <c r="B2" s="324" t="s">
        <v>9</v>
      </c>
      <c r="C2" s="325" t="s">
        <v>14</v>
      </c>
      <c r="D2" s="324" t="s">
        <v>15</v>
      </c>
      <c r="E2" s="325" t="s">
        <v>16</v>
      </c>
      <c r="F2" s="324" t="s">
        <v>17</v>
      </c>
      <c r="G2" s="325" t="s">
        <v>18</v>
      </c>
      <c r="H2" s="324" t="s">
        <v>19</v>
      </c>
      <c r="I2" s="325" t="s">
        <v>4</v>
      </c>
      <c r="J2" s="324" t="s">
        <v>5</v>
      </c>
      <c r="K2" s="325" t="s">
        <v>6</v>
      </c>
      <c r="L2" s="324" t="s">
        <v>7</v>
      </c>
      <c r="M2" s="325" t="s">
        <v>8</v>
      </c>
      <c r="N2" s="325" t="s">
        <v>90</v>
      </c>
    </row>
    <row r="3" spans="1:14" x14ac:dyDescent="0.2">
      <c r="A3" s="329" t="s">
        <v>208</v>
      </c>
      <c r="B3" s="328"/>
      <c r="C3" s="328">
        <f>16000+16000</f>
        <v>32000</v>
      </c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>
        <f>SUM(B3:M3)</f>
        <v>32000</v>
      </c>
    </row>
    <row r="4" spans="1:14" x14ac:dyDescent="0.2">
      <c r="A4" s="326" t="s">
        <v>211</v>
      </c>
      <c r="B4" s="327"/>
      <c r="C4" s="327">
        <f>3465+31185</f>
        <v>34650</v>
      </c>
      <c r="D4" s="327"/>
      <c r="E4" s="327"/>
      <c r="F4" s="327"/>
      <c r="G4" s="327"/>
      <c r="H4" s="327"/>
      <c r="I4" s="327"/>
      <c r="J4" s="327"/>
      <c r="K4" s="327"/>
      <c r="L4" s="327"/>
      <c r="M4" s="328"/>
      <c r="N4" s="328">
        <f t="shared" ref="N4:N63" si="0">SUM(B4:M4)</f>
        <v>34650</v>
      </c>
    </row>
    <row r="5" spans="1:14" x14ac:dyDescent="0.2">
      <c r="A5" s="329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>
        <f t="shared" si="0"/>
        <v>0</v>
      </c>
    </row>
    <row r="6" spans="1:14" x14ac:dyDescent="0.2">
      <c r="A6" s="329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>
        <f t="shared" si="0"/>
        <v>0</v>
      </c>
    </row>
    <row r="7" spans="1:14" x14ac:dyDescent="0.2">
      <c r="A7" s="329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>
        <f t="shared" si="0"/>
        <v>0</v>
      </c>
    </row>
    <row r="8" spans="1:14" x14ac:dyDescent="0.2">
      <c r="A8" s="329"/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>
        <f t="shared" si="0"/>
        <v>0</v>
      </c>
    </row>
    <row r="9" spans="1:14" x14ac:dyDescent="0.2">
      <c r="A9" s="329"/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>
        <f t="shared" si="0"/>
        <v>0</v>
      </c>
    </row>
    <row r="10" spans="1:14" x14ac:dyDescent="0.2">
      <c r="A10" s="329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>
        <f t="shared" si="0"/>
        <v>0</v>
      </c>
    </row>
    <row r="11" spans="1:14" x14ac:dyDescent="0.2">
      <c r="A11" s="329"/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>
        <f t="shared" si="0"/>
        <v>0</v>
      </c>
    </row>
    <row r="12" spans="1:14" x14ac:dyDescent="0.2">
      <c r="A12" s="359" t="s">
        <v>146</v>
      </c>
      <c r="B12" s="328"/>
      <c r="C12" s="35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>
        <f t="shared" si="0"/>
        <v>0</v>
      </c>
    </row>
    <row r="13" spans="1:14" x14ac:dyDescent="0.2">
      <c r="A13" s="329" t="s">
        <v>148</v>
      </c>
      <c r="B13" s="328">
        <v>6000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>
        <f t="shared" si="0"/>
        <v>6000</v>
      </c>
    </row>
    <row r="14" spans="1:14" x14ac:dyDescent="0.2">
      <c r="A14" s="329"/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>
        <f t="shared" si="0"/>
        <v>0</v>
      </c>
    </row>
    <row r="15" spans="1:14" x14ac:dyDescent="0.2">
      <c r="A15" s="329"/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>
        <f t="shared" si="0"/>
        <v>0</v>
      </c>
    </row>
    <row r="16" spans="1:14" x14ac:dyDescent="0.2">
      <c r="A16" s="329"/>
      <c r="B16" s="328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>
        <f t="shared" si="0"/>
        <v>0</v>
      </c>
    </row>
    <row r="17" spans="1:14" x14ac:dyDescent="0.2">
      <c r="A17" s="329"/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>
        <f t="shared" si="0"/>
        <v>0</v>
      </c>
    </row>
    <row r="18" spans="1:14" x14ac:dyDescent="0.2">
      <c r="A18" s="329"/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>
        <f t="shared" si="0"/>
        <v>0</v>
      </c>
    </row>
    <row r="19" spans="1:14" x14ac:dyDescent="0.2">
      <c r="A19" s="329"/>
      <c r="B19" s="328"/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>
        <f t="shared" si="0"/>
        <v>0</v>
      </c>
    </row>
    <row r="20" spans="1:14" x14ac:dyDescent="0.2">
      <c r="A20" s="329"/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>
        <f t="shared" si="0"/>
        <v>0</v>
      </c>
    </row>
    <row r="21" spans="1:14" x14ac:dyDescent="0.2">
      <c r="A21" s="329"/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>
        <f t="shared" si="0"/>
        <v>0</v>
      </c>
    </row>
    <row r="22" spans="1:14" x14ac:dyDescent="0.2">
      <c r="A22" s="329"/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>
        <f t="shared" si="0"/>
        <v>0</v>
      </c>
    </row>
    <row r="23" spans="1:14" x14ac:dyDescent="0.2">
      <c r="A23" s="329"/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>
        <f t="shared" si="0"/>
        <v>0</v>
      </c>
    </row>
    <row r="24" spans="1:14" x14ac:dyDescent="0.2">
      <c r="A24" s="329"/>
      <c r="B24" s="328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>
        <f t="shared" si="0"/>
        <v>0</v>
      </c>
    </row>
    <row r="25" spans="1:14" x14ac:dyDescent="0.2">
      <c r="A25" s="329"/>
      <c r="B25" s="328"/>
      <c r="C25" s="328"/>
      <c r="D25" s="328"/>
      <c r="E25" s="328"/>
      <c r="F25" s="328"/>
      <c r="G25" s="328"/>
      <c r="H25" s="328"/>
      <c r="I25" s="328"/>
      <c r="J25" s="328"/>
      <c r="K25" s="328"/>
      <c r="L25" s="328"/>
      <c r="M25" s="328"/>
      <c r="N25" s="328">
        <f t="shared" si="0"/>
        <v>0</v>
      </c>
    </row>
    <row r="26" spans="1:14" x14ac:dyDescent="0.2">
      <c r="A26" s="329"/>
      <c r="B26" s="328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>
        <f t="shared" si="0"/>
        <v>0</v>
      </c>
    </row>
    <row r="27" spans="1:14" x14ac:dyDescent="0.2">
      <c r="A27" s="329"/>
      <c r="B27" s="328"/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>
        <f t="shared" si="0"/>
        <v>0</v>
      </c>
    </row>
    <row r="28" spans="1:14" x14ac:dyDescent="0.2">
      <c r="A28" s="329"/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>
        <f t="shared" si="0"/>
        <v>0</v>
      </c>
    </row>
    <row r="29" spans="1:14" x14ac:dyDescent="0.2">
      <c r="A29" s="329"/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>
        <f t="shared" si="0"/>
        <v>0</v>
      </c>
    </row>
    <row r="30" spans="1:14" x14ac:dyDescent="0.2">
      <c r="A30" s="329"/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>
        <f t="shared" si="0"/>
        <v>0</v>
      </c>
    </row>
    <row r="31" spans="1:14" x14ac:dyDescent="0.2">
      <c r="A31" s="329"/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>
        <f t="shared" si="0"/>
        <v>0</v>
      </c>
    </row>
    <row r="32" spans="1:14" x14ac:dyDescent="0.2">
      <c r="A32" s="329"/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>
        <f t="shared" si="0"/>
        <v>0</v>
      </c>
    </row>
    <row r="33" spans="1:14" x14ac:dyDescent="0.2">
      <c r="A33" s="329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>
        <f t="shared" si="0"/>
        <v>0</v>
      </c>
    </row>
    <row r="34" spans="1:14" x14ac:dyDescent="0.2">
      <c r="A34" s="329"/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>
        <f t="shared" si="0"/>
        <v>0</v>
      </c>
    </row>
    <row r="35" spans="1:14" x14ac:dyDescent="0.2">
      <c r="A35" s="329"/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>
        <f t="shared" si="0"/>
        <v>0</v>
      </c>
    </row>
    <row r="36" spans="1:14" x14ac:dyDescent="0.2">
      <c r="A36" s="329"/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>
        <f t="shared" si="0"/>
        <v>0</v>
      </c>
    </row>
    <row r="37" spans="1:14" x14ac:dyDescent="0.2">
      <c r="A37" s="329"/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>
        <f t="shared" si="0"/>
        <v>0</v>
      </c>
    </row>
    <row r="38" spans="1:14" x14ac:dyDescent="0.2">
      <c r="A38" s="329"/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>
        <f t="shared" si="0"/>
        <v>0</v>
      </c>
    </row>
    <row r="39" spans="1:14" x14ac:dyDescent="0.2">
      <c r="A39" s="329"/>
      <c r="B39" s="328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>
        <f t="shared" si="0"/>
        <v>0</v>
      </c>
    </row>
    <row r="40" spans="1:14" x14ac:dyDescent="0.2">
      <c r="A40" s="329"/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>
        <f t="shared" si="0"/>
        <v>0</v>
      </c>
    </row>
    <row r="41" spans="1:14" x14ac:dyDescent="0.2">
      <c r="A41" s="329"/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>
        <f t="shared" si="0"/>
        <v>0</v>
      </c>
    </row>
    <row r="42" spans="1:14" x14ac:dyDescent="0.2">
      <c r="A42" s="329"/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>
        <f t="shared" si="0"/>
        <v>0</v>
      </c>
    </row>
    <row r="43" spans="1:14" x14ac:dyDescent="0.2">
      <c r="A43" s="329"/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>
        <f t="shared" si="0"/>
        <v>0</v>
      </c>
    </row>
    <row r="44" spans="1:14" x14ac:dyDescent="0.2">
      <c r="A44" s="329"/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>
        <f t="shared" si="0"/>
        <v>0</v>
      </c>
    </row>
    <row r="45" spans="1:14" x14ac:dyDescent="0.2">
      <c r="A45" s="329"/>
      <c r="B45" s="328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>
        <f t="shared" si="0"/>
        <v>0</v>
      </c>
    </row>
    <row r="46" spans="1:14" x14ac:dyDescent="0.2">
      <c r="A46" s="329"/>
      <c r="B46" s="328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>
        <f t="shared" si="0"/>
        <v>0</v>
      </c>
    </row>
    <row r="47" spans="1:14" x14ac:dyDescent="0.2">
      <c r="A47" s="329"/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>
        <f t="shared" si="0"/>
        <v>0</v>
      </c>
    </row>
    <row r="48" spans="1:14" x14ac:dyDescent="0.2">
      <c r="A48" s="329"/>
      <c r="B48" s="328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>
        <f t="shared" si="0"/>
        <v>0</v>
      </c>
    </row>
    <row r="49" spans="1:14" x14ac:dyDescent="0.2">
      <c r="A49" s="329"/>
      <c r="B49" s="328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>
        <f t="shared" si="0"/>
        <v>0</v>
      </c>
    </row>
    <row r="50" spans="1:14" x14ac:dyDescent="0.2">
      <c r="A50" s="329"/>
      <c r="B50" s="328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  <c r="N50" s="328">
        <f t="shared" si="0"/>
        <v>0</v>
      </c>
    </row>
    <row r="51" spans="1:14" x14ac:dyDescent="0.2">
      <c r="A51" s="329"/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>
        <f t="shared" si="0"/>
        <v>0</v>
      </c>
    </row>
    <row r="52" spans="1:14" x14ac:dyDescent="0.2">
      <c r="A52" s="329"/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>
        <f t="shared" si="0"/>
        <v>0</v>
      </c>
    </row>
    <row r="53" spans="1:14" x14ac:dyDescent="0.2">
      <c r="A53" s="329"/>
      <c r="B53" s="328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>
        <f t="shared" si="0"/>
        <v>0</v>
      </c>
    </row>
    <row r="54" spans="1:14" x14ac:dyDescent="0.2">
      <c r="A54" s="329"/>
      <c r="B54" s="328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>
        <f t="shared" si="0"/>
        <v>0</v>
      </c>
    </row>
    <row r="55" spans="1:14" x14ac:dyDescent="0.2">
      <c r="A55" s="329"/>
      <c r="B55" s="328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>
        <f t="shared" si="0"/>
        <v>0</v>
      </c>
    </row>
    <row r="56" spans="1:14" x14ac:dyDescent="0.2">
      <c r="A56" s="329"/>
      <c r="B56" s="328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>
        <f t="shared" si="0"/>
        <v>0</v>
      </c>
    </row>
    <row r="57" spans="1:14" x14ac:dyDescent="0.2">
      <c r="A57" s="329"/>
      <c r="B57" s="328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>
        <f t="shared" si="0"/>
        <v>0</v>
      </c>
    </row>
    <row r="58" spans="1:14" x14ac:dyDescent="0.2">
      <c r="A58" s="329"/>
      <c r="B58" s="328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28"/>
      <c r="N58" s="328">
        <f t="shared" si="0"/>
        <v>0</v>
      </c>
    </row>
    <row r="59" spans="1:14" x14ac:dyDescent="0.2">
      <c r="A59" s="329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>
        <f t="shared" si="0"/>
        <v>0</v>
      </c>
    </row>
    <row r="60" spans="1:14" x14ac:dyDescent="0.2">
      <c r="A60" s="329"/>
      <c r="B60" s="328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>
        <f t="shared" si="0"/>
        <v>0</v>
      </c>
    </row>
    <row r="61" spans="1:14" x14ac:dyDescent="0.2">
      <c r="A61" s="329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>
        <f t="shared" si="0"/>
        <v>0</v>
      </c>
    </row>
    <row r="62" spans="1:14" x14ac:dyDescent="0.2">
      <c r="A62" s="329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>
        <f t="shared" si="0"/>
        <v>0</v>
      </c>
    </row>
    <row r="63" spans="1:14" x14ac:dyDescent="0.2">
      <c r="A63" s="329"/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>
        <f t="shared" si="0"/>
        <v>0</v>
      </c>
    </row>
    <row r="64" spans="1:14" x14ac:dyDescent="0.2">
      <c r="A64" s="319" t="s">
        <v>90</v>
      </c>
      <c r="B64" s="330">
        <f>SUM(B3:B63)</f>
        <v>6000</v>
      </c>
      <c r="C64" s="330">
        <f t="shared" ref="C64:J64" si="1">SUM(C3:C63)</f>
        <v>66650</v>
      </c>
      <c r="D64" s="330">
        <f t="shared" si="1"/>
        <v>0</v>
      </c>
      <c r="E64" s="330">
        <f t="shared" si="1"/>
        <v>0</v>
      </c>
      <c r="F64" s="330">
        <f t="shared" si="1"/>
        <v>0</v>
      </c>
      <c r="G64" s="330">
        <f t="shared" si="1"/>
        <v>0</v>
      </c>
      <c r="H64" s="330">
        <f t="shared" si="1"/>
        <v>0</v>
      </c>
      <c r="I64" s="330">
        <f t="shared" si="1"/>
        <v>0</v>
      </c>
      <c r="J64" s="330">
        <f t="shared" si="1"/>
        <v>0</v>
      </c>
      <c r="K64" s="330">
        <f>SUM(K3:K63)</f>
        <v>0</v>
      </c>
      <c r="L64" s="330">
        <f>SUM(L3:L63)</f>
        <v>0</v>
      </c>
      <c r="M64" s="330">
        <f>SUM(M3:M63)</f>
        <v>0</v>
      </c>
      <c r="N64" s="330">
        <f>SUM(N3:N63)</f>
        <v>72650</v>
      </c>
    </row>
    <row r="65" spans="14:14" x14ac:dyDescent="0.2">
      <c r="N65" s="381">
        <f>B64+C64+D64+E64+F64+G64+H64+I64+J64+K64+L64+M64</f>
        <v>72650</v>
      </c>
    </row>
    <row r="66" spans="14:14" x14ac:dyDescent="0.2">
      <c r="N66" s="332"/>
    </row>
  </sheetData>
  <phoneticPr fontId="28" type="noConversion"/>
  <pageMargins left="0.25" right="0.25" top="0.75" bottom="0.75" header="0.3" footer="0.3"/>
  <pageSetup paperSize="9" scale="53" firstPageNumber="42949672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N79"/>
  <sheetViews>
    <sheetView workbookViewId="0">
      <selection activeCell="A18" sqref="A18"/>
    </sheetView>
  </sheetViews>
  <sheetFormatPr defaultRowHeight="15" x14ac:dyDescent="0.25"/>
  <cols>
    <col min="1" max="1" width="33.140625" bestFit="1" customWidth="1"/>
    <col min="2" max="2" width="13.140625" bestFit="1" customWidth="1"/>
    <col min="3" max="6" width="12.85546875" bestFit="1" customWidth="1"/>
    <col min="7" max="7" width="13.140625" bestFit="1" customWidth="1"/>
    <col min="8" max="13" width="12.85546875" bestFit="1" customWidth="1"/>
    <col min="14" max="14" width="14.5703125" style="96" bestFit="1" customWidth="1"/>
  </cols>
  <sheetData>
    <row r="1" spans="1:14" x14ac:dyDescent="0.25">
      <c r="A1" s="155" t="s">
        <v>105</v>
      </c>
      <c r="B1" s="135" t="str">
        <f>'ВСЕ затраты'!B1</f>
        <v>2025-2026гг.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83"/>
    </row>
    <row r="2" spans="1:14" x14ac:dyDescent="0.25">
      <c r="A2" s="156"/>
      <c r="B2" s="173" t="s">
        <v>9</v>
      </c>
      <c r="C2" s="172" t="s">
        <v>14</v>
      </c>
      <c r="D2" s="173" t="s">
        <v>15</v>
      </c>
      <c r="E2" s="172" t="s">
        <v>16</v>
      </c>
      <c r="F2" s="173" t="s">
        <v>17</v>
      </c>
      <c r="G2" s="172" t="s">
        <v>18</v>
      </c>
      <c r="H2" s="173" t="s">
        <v>19</v>
      </c>
      <c r="I2" s="172" t="s">
        <v>4</v>
      </c>
      <c r="J2" s="173" t="s">
        <v>5</v>
      </c>
      <c r="K2" s="172" t="s">
        <v>6</v>
      </c>
      <c r="L2" s="173" t="s">
        <v>7</v>
      </c>
      <c r="M2" s="172" t="s">
        <v>8</v>
      </c>
      <c r="N2" s="184"/>
    </row>
    <row r="3" spans="1:14" x14ac:dyDescent="0.25">
      <c r="A3" s="353" t="s">
        <v>105</v>
      </c>
      <c r="B3" s="335">
        <v>231279</v>
      </c>
      <c r="C3" s="335">
        <v>278808.81</v>
      </c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186">
        <f t="shared" ref="N3:N76" si="0">SUM(B3:M3)</f>
        <v>510087.81</v>
      </c>
    </row>
    <row r="4" spans="1:14" x14ac:dyDescent="0.25">
      <c r="A4" s="161" t="s">
        <v>186</v>
      </c>
      <c r="B4" s="186">
        <v>600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91">
        <f t="shared" si="0"/>
        <v>600</v>
      </c>
    </row>
    <row r="5" spans="1:14" x14ac:dyDescent="0.25">
      <c r="A5" s="161" t="s">
        <v>187</v>
      </c>
      <c r="B5" s="186">
        <v>196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91">
        <f t="shared" si="0"/>
        <v>196</v>
      </c>
    </row>
    <row r="6" spans="1:14" x14ac:dyDescent="0.25">
      <c r="A6" s="165" t="s">
        <v>188</v>
      </c>
      <c r="B6" s="186">
        <v>384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91">
        <f t="shared" si="0"/>
        <v>384</v>
      </c>
    </row>
    <row r="7" spans="1:14" x14ac:dyDescent="0.25">
      <c r="A7" s="161" t="s">
        <v>189</v>
      </c>
      <c r="B7" s="186">
        <v>166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91">
        <f t="shared" si="0"/>
        <v>166</v>
      </c>
    </row>
    <row r="8" spans="1:14" x14ac:dyDescent="0.25">
      <c r="A8" s="161" t="s">
        <v>190</v>
      </c>
      <c r="B8" s="186">
        <v>3993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91">
        <f t="shared" si="0"/>
        <v>3993</v>
      </c>
    </row>
    <row r="9" spans="1:14" x14ac:dyDescent="0.25">
      <c r="A9" s="161" t="s">
        <v>191</v>
      </c>
      <c r="B9" s="186">
        <v>6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91">
        <f t="shared" si="0"/>
        <v>6</v>
      </c>
    </row>
    <row r="10" spans="1:14" x14ac:dyDescent="0.25">
      <c r="A10" s="161" t="s">
        <v>193</v>
      </c>
      <c r="B10" s="186">
        <v>5820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91">
        <f t="shared" si="0"/>
        <v>5820</v>
      </c>
    </row>
    <row r="11" spans="1:14" x14ac:dyDescent="0.25">
      <c r="A11" s="161" t="s">
        <v>202</v>
      </c>
      <c r="B11" s="186">
        <v>29268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91">
        <f t="shared" si="0"/>
        <v>29268</v>
      </c>
    </row>
    <row r="12" spans="1:14" x14ac:dyDescent="0.25">
      <c r="A12" s="161" t="s">
        <v>216</v>
      </c>
      <c r="B12" s="186"/>
      <c r="C12" s="186">
        <v>203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91">
        <f t="shared" si="0"/>
        <v>203</v>
      </c>
    </row>
    <row r="13" spans="1:14" x14ac:dyDescent="0.25">
      <c r="A13" s="161" t="s">
        <v>217</v>
      </c>
      <c r="B13" s="186"/>
      <c r="C13" s="186">
        <v>6651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91">
        <f t="shared" si="0"/>
        <v>6651</v>
      </c>
    </row>
    <row r="14" spans="1:14" x14ac:dyDescent="0.25">
      <c r="A14" s="161" t="s">
        <v>218</v>
      </c>
      <c r="B14" s="152"/>
      <c r="C14" s="152">
        <v>7634</v>
      </c>
      <c r="D14" s="186"/>
      <c r="E14" s="152"/>
      <c r="F14" s="152"/>
      <c r="G14" s="152"/>
      <c r="H14" s="152"/>
      <c r="I14" s="152"/>
      <c r="J14" s="152"/>
      <c r="K14" s="152"/>
      <c r="L14" s="152"/>
      <c r="M14" s="152"/>
      <c r="N14" s="180">
        <f t="shared" si="0"/>
        <v>7634</v>
      </c>
    </row>
    <row r="15" spans="1:14" x14ac:dyDescent="0.25">
      <c r="A15" s="161" t="s">
        <v>219</v>
      </c>
      <c r="B15" s="152"/>
      <c r="C15" s="152">
        <v>585</v>
      </c>
      <c r="D15" s="186"/>
      <c r="E15" s="152"/>
      <c r="F15" s="152"/>
      <c r="G15" s="152"/>
      <c r="H15" s="152"/>
      <c r="I15" s="152"/>
      <c r="J15" s="152"/>
      <c r="K15" s="152"/>
      <c r="L15" s="152"/>
      <c r="M15" s="152"/>
      <c r="N15" s="180">
        <f t="shared" si="0"/>
        <v>585</v>
      </c>
    </row>
    <row r="16" spans="1:14" x14ac:dyDescent="0.25">
      <c r="A16" s="161" t="s">
        <v>228</v>
      </c>
      <c r="B16" s="152"/>
      <c r="C16" s="152">
        <v>1623</v>
      </c>
      <c r="D16" s="186"/>
      <c r="E16" s="152"/>
      <c r="F16" s="152"/>
      <c r="G16" s="152"/>
      <c r="H16" s="152"/>
      <c r="I16" s="152"/>
      <c r="J16" s="152"/>
      <c r="K16" s="152"/>
      <c r="L16" s="152"/>
      <c r="M16" s="152"/>
      <c r="N16" s="180">
        <f t="shared" si="0"/>
        <v>1623</v>
      </c>
    </row>
    <row r="17" spans="1:14" x14ac:dyDescent="0.25">
      <c r="A17" s="367"/>
      <c r="B17" s="152"/>
      <c r="C17" s="152"/>
      <c r="D17" s="186"/>
      <c r="E17" s="152"/>
      <c r="F17" s="152"/>
      <c r="G17" s="152"/>
      <c r="H17" s="152"/>
      <c r="I17" s="152"/>
      <c r="J17" s="152"/>
      <c r="K17" s="152"/>
      <c r="L17" s="152"/>
      <c r="M17" s="152"/>
      <c r="N17" s="180">
        <f t="shared" si="0"/>
        <v>0</v>
      </c>
    </row>
    <row r="18" spans="1:14" x14ac:dyDescent="0.25">
      <c r="A18" s="161"/>
      <c r="B18" s="152"/>
      <c r="C18" s="152"/>
      <c r="D18" s="186"/>
      <c r="E18" s="152"/>
      <c r="F18" s="152"/>
      <c r="G18" s="152"/>
      <c r="H18" s="152"/>
      <c r="I18" s="152"/>
      <c r="J18" s="152"/>
      <c r="K18" s="152"/>
      <c r="L18" s="152"/>
      <c r="M18" s="152"/>
      <c r="N18" s="180">
        <f t="shared" si="0"/>
        <v>0</v>
      </c>
    </row>
    <row r="19" spans="1:14" x14ac:dyDescent="0.25">
      <c r="A19" s="161"/>
      <c r="B19" s="152"/>
      <c r="C19" s="152"/>
      <c r="D19" s="186"/>
      <c r="E19" s="152"/>
      <c r="F19" s="152"/>
      <c r="G19" s="152"/>
      <c r="H19" s="152"/>
      <c r="I19" s="152"/>
      <c r="J19" s="152"/>
      <c r="K19" s="152"/>
      <c r="L19" s="152"/>
      <c r="M19" s="152"/>
      <c r="N19" s="180">
        <f t="shared" si="0"/>
        <v>0</v>
      </c>
    </row>
    <row r="20" spans="1:14" x14ac:dyDescent="0.25">
      <c r="A20" s="161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80">
        <f t="shared" si="0"/>
        <v>0</v>
      </c>
    </row>
    <row r="21" spans="1:14" x14ac:dyDescent="0.25">
      <c r="A21" s="161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80">
        <f t="shared" si="0"/>
        <v>0</v>
      </c>
    </row>
    <row r="22" spans="1:14" x14ac:dyDescent="0.25">
      <c r="A22" s="161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80">
        <f t="shared" si="0"/>
        <v>0</v>
      </c>
    </row>
    <row r="23" spans="1:14" x14ac:dyDescent="0.25">
      <c r="A23" s="161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80">
        <f t="shared" si="0"/>
        <v>0</v>
      </c>
    </row>
    <row r="24" spans="1:14" x14ac:dyDescent="0.25">
      <c r="A24" s="161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80">
        <f t="shared" si="0"/>
        <v>0</v>
      </c>
    </row>
    <row r="25" spans="1:14" x14ac:dyDescent="0.25">
      <c r="A25" s="16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80">
        <f t="shared" si="0"/>
        <v>0</v>
      </c>
    </row>
    <row r="26" spans="1:14" x14ac:dyDescent="0.25">
      <c r="A26" s="16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80">
        <f t="shared" si="0"/>
        <v>0</v>
      </c>
    </row>
    <row r="27" spans="1:14" x14ac:dyDescent="0.25">
      <c r="A27" s="161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80">
        <f t="shared" si="0"/>
        <v>0</v>
      </c>
    </row>
    <row r="28" spans="1:14" x14ac:dyDescent="0.25">
      <c r="A28" s="16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80">
        <f t="shared" si="0"/>
        <v>0</v>
      </c>
    </row>
    <row r="29" spans="1:14" x14ac:dyDescent="0.25">
      <c r="A29" s="161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80">
        <f t="shared" si="0"/>
        <v>0</v>
      </c>
    </row>
    <row r="30" spans="1:14" x14ac:dyDescent="0.25">
      <c r="A30" s="161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80">
        <f t="shared" si="0"/>
        <v>0</v>
      </c>
    </row>
    <row r="31" spans="1:14" x14ac:dyDescent="0.25">
      <c r="A31" s="161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80">
        <f t="shared" si="0"/>
        <v>0</v>
      </c>
    </row>
    <row r="32" spans="1:14" x14ac:dyDescent="0.25">
      <c r="A32" s="341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80">
        <f t="shared" si="0"/>
        <v>0</v>
      </c>
    </row>
    <row r="33" spans="1:14" x14ac:dyDescent="0.25">
      <c r="A33" s="341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80">
        <f t="shared" si="0"/>
        <v>0</v>
      </c>
    </row>
    <row r="34" spans="1:14" x14ac:dyDescent="0.25">
      <c r="A34" s="341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80">
        <f t="shared" si="0"/>
        <v>0</v>
      </c>
    </row>
    <row r="35" spans="1:14" x14ac:dyDescent="0.25">
      <c r="A35" s="341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80">
        <f t="shared" si="0"/>
        <v>0</v>
      </c>
    </row>
    <row r="36" spans="1:14" x14ac:dyDescent="0.25">
      <c r="A36" s="341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80">
        <f t="shared" si="0"/>
        <v>0</v>
      </c>
    </row>
    <row r="37" spans="1:14" x14ac:dyDescent="0.25">
      <c r="A37" s="341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80">
        <f t="shared" si="0"/>
        <v>0</v>
      </c>
    </row>
    <row r="38" spans="1:14" x14ac:dyDescent="0.25">
      <c r="A38" s="341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80">
        <f t="shared" si="0"/>
        <v>0</v>
      </c>
    </row>
    <row r="39" spans="1:14" x14ac:dyDescent="0.25">
      <c r="A39" s="341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80">
        <f t="shared" si="0"/>
        <v>0</v>
      </c>
    </row>
    <row r="40" spans="1:14" x14ac:dyDescent="0.25">
      <c r="A40" s="341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80">
        <f t="shared" si="0"/>
        <v>0</v>
      </c>
    </row>
    <row r="41" spans="1:14" x14ac:dyDescent="0.25">
      <c r="A41" s="341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80">
        <f t="shared" si="0"/>
        <v>0</v>
      </c>
    </row>
    <row r="42" spans="1:14" x14ac:dyDescent="0.25">
      <c r="A42" s="341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80">
        <f t="shared" si="0"/>
        <v>0</v>
      </c>
    </row>
    <row r="43" spans="1:14" x14ac:dyDescent="0.25">
      <c r="A43" s="341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80">
        <f t="shared" si="0"/>
        <v>0</v>
      </c>
    </row>
    <row r="44" spans="1:14" x14ac:dyDescent="0.25">
      <c r="A44" s="341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80">
        <f t="shared" si="0"/>
        <v>0</v>
      </c>
    </row>
    <row r="45" spans="1:14" x14ac:dyDescent="0.25">
      <c r="A45" s="341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80">
        <f t="shared" si="0"/>
        <v>0</v>
      </c>
    </row>
    <row r="46" spans="1:14" x14ac:dyDescent="0.25">
      <c r="A46" s="341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80">
        <f t="shared" si="0"/>
        <v>0</v>
      </c>
    </row>
    <row r="47" spans="1:14" x14ac:dyDescent="0.25">
      <c r="A47" s="341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80">
        <f t="shared" si="0"/>
        <v>0</v>
      </c>
    </row>
    <row r="48" spans="1:14" x14ac:dyDescent="0.25">
      <c r="A48" s="341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80">
        <f t="shared" si="0"/>
        <v>0</v>
      </c>
    </row>
    <row r="49" spans="1:14" x14ac:dyDescent="0.25">
      <c r="A49" s="341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80">
        <f t="shared" si="0"/>
        <v>0</v>
      </c>
    </row>
    <row r="50" spans="1:14" x14ac:dyDescent="0.25">
      <c r="A50" s="34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80">
        <f t="shared" si="0"/>
        <v>0</v>
      </c>
    </row>
    <row r="51" spans="1:14" x14ac:dyDescent="0.25">
      <c r="A51" s="341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80">
        <f t="shared" si="0"/>
        <v>0</v>
      </c>
    </row>
    <row r="52" spans="1:14" x14ac:dyDescent="0.25">
      <c r="A52" s="341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80">
        <f t="shared" si="0"/>
        <v>0</v>
      </c>
    </row>
    <row r="53" spans="1:14" x14ac:dyDescent="0.25">
      <c r="A53" s="341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80">
        <f t="shared" si="0"/>
        <v>0</v>
      </c>
    </row>
    <row r="54" spans="1:14" x14ac:dyDescent="0.25">
      <c r="A54" s="341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80">
        <f t="shared" si="0"/>
        <v>0</v>
      </c>
    </row>
    <row r="55" spans="1:14" x14ac:dyDescent="0.25">
      <c r="A55" s="341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80">
        <f t="shared" si="0"/>
        <v>0</v>
      </c>
    </row>
    <row r="56" spans="1:14" x14ac:dyDescent="0.25">
      <c r="A56" s="341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80">
        <f t="shared" si="0"/>
        <v>0</v>
      </c>
    </row>
    <row r="57" spans="1:14" x14ac:dyDescent="0.25">
      <c r="A57" s="341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80">
        <f t="shared" si="0"/>
        <v>0</v>
      </c>
    </row>
    <row r="58" spans="1:14" x14ac:dyDescent="0.25">
      <c r="A58" s="341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80">
        <f t="shared" si="0"/>
        <v>0</v>
      </c>
    </row>
    <row r="59" spans="1:14" x14ac:dyDescent="0.25">
      <c r="A59" s="34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80">
        <f t="shared" si="0"/>
        <v>0</v>
      </c>
    </row>
    <row r="60" spans="1:14" x14ac:dyDescent="0.25">
      <c r="A60" s="341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80">
        <f t="shared" si="0"/>
        <v>0</v>
      </c>
    </row>
    <row r="61" spans="1:14" x14ac:dyDescent="0.25">
      <c r="A61" s="341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80">
        <f t="shared" si="0"/>
        <v>0</v>
      </c>
    </row>
    <row r="62" spans="1:14" x14ac:dyDescent="0.25">
      <c r="A62" s="34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80">
        <f t="shared" si="0"/>
        <v>0</v>
      </c>
    </row>
    <row r="63" spans="1:14" x14ac:dyDescent="0.25">
      <c r="A63" s="341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80">
        <f t="shared" si="0"/>
        <v>0</v>
      </c>
    </row>
    <row r="64" spans="1:14" x14ac:dyDescent="0.25">
      <c r="A64" s="34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80">
        <f t="shared" si="0"/>
        <v>0</v>
      </c>
    </row>
    <row r="65" spans="1:14" x14ac:dyDescent="0.25">
      <c r="A65" s="341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80">
        <f t="shared" si="0"/>
        <v>0</v>
      </c>
    </row>
    <row r="66" spans="1:14" x14ac:dyDescent="0.25">
      <c r="A66" s="341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80">
        <f t="shared" ref="N66:N70" si="1">SUM(B66:M66)</f>
        <v>0</v>
      </c>
    </row>
    <row r="67" spans="1:14" x14ac:dyDescent="0.25">
      <c r="A67" s="34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80">
        <f t="shared" si="1"/>
        <v>0</v>
      </c>
    </row>
    <row r="68" spans="1:14" x14ac:dyDescent="0.25">
      <c r="A68" s="341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80">
        <f t="shared" si="1"/>
        <v>0</v>
      </c>
    </row>
    <row r="69" spans="1:14" x14ac:dyDescent="0.25">
      <c r="A69" s="341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80">
        <f t="shared" si="1"/>
        <v>0</v>
      </c>
    </row>
    <row r="70" spans="1:14" x14ac:dyDescent="0.25">
      <c r="A70" s="341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80">
        <f t="shared" si="1"/>
        <v>0</v>
      </c>
    </row>
    <row r="71" spans="1:14" x14ac:dyDescent="0.25">
      <c r="A71" s="341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80">
        <f t="shared" si="0"/>
        <v>0</v>
      </c>
    </row>
    <row r="72" spans="1:14" x14ac:dyDescent="0.25">
      <c r="A72" s="341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80">
        <f t="shared" si="0"/>
        <v>0</v>
      </c>
    </row>
    <row r="73" spans="1:14" x14ac:dyDescent="0.25">
      <c r="A73" s="34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80">
        <f t="shared" si="0"/>
        <v>0</v>
      </c>
    </row>
    <row r="74" spans="1:14" x14ac:dyDescent="0.25">
      <c r="A74" s="341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80">
        <f t="shared" si="0"/>
        <v>0</v>
      </c>
    </row>
    <row r="75" spans="1:14" x14ac:dyDescent="0.25">
      <c r="A75" s="341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80">
        <f t="shared" si="0"/>
        <v>0</v>
      </c>
    </row>
    <row r="76" spans="1:14" x14ac:dyDescent="0.25">
      <c r="A76" s="341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80">
        <f t="shared" si="0"/>
        <v>0</v>
      </c>
    </row>
    <row r="77" spans="1:14" x14ac:dyDescent="0.25">
      <c r="A77" s="155" t="s">
        <v>90</v>
      </c>
      <c r="B77" s="166">
        <f>SUM(B3:B76)</f>
        <v>271712</v>
      </c>
      <c r="C77" s="166">
        <f>SUM(C3:C76)</f>
        <v>295504.81</v>
      </c>
      <c r="D77" s="166">
        <f t="shared" ref="D77:I77" si="2">SUM(D3:D76)</f>
        <v>0</v>
      </c>
      <c r="E77" s="166">
        <f t="shared" si="2"/>
        <v>0</v>
      </c>
      <c r="F77" s="166">
        <f t="shared" si="2"/>
        <v>0</v>
      </c>
      <c r="G77" s="166">
        <f t="shared" si="2"/>
        <v>0</v>
      </c>
      <c r="H77" s="166">
        <f>SUM(H3:H76)</f>
        <v>0</v>
      </c>
      <c r="I77" s="166">
        <f t="shared" si="2"/>
        <v>0</v>
      </c>
      <c r="J77" s="166">
        <f>SUM(J3:J76)</f>
        <v>0</v>
      </c>
      <c r="K77" s="166">
        <f>SUM(K3:K76)</f>
        <v>0</v>
      </c>
      <c r="L77" s="166">
        <f>SUM(L3:L76)</f>
        <v>0</v>
      </c>
      <c r="M77" s="166">
        <f>SUM(M3:M76)</f>
        <v>0</v>
      </c>
      <c r="N77" s="185">
        <f>SUM(N3:N76)</f>
        <v>567216.81000000006</v>
      </c>
    </row>
    <row r="78" spans="1:14" x14ac:dyDescent="0.25">
      <c r="N78" s="96">
        <f>B77+C77+D77+E77+F77+G77+H77+I77+J77+K77+L77+M77</f>
        <v>567216.81000000006</v>
      </c>
    </row>
    <row r="79" spans="1:14" x14ac:dyDescent="0.25">
      <c r="N79" s="96">
        <f>SUM(B77:M77)-N77</f>
        <v>0</v>
      </c>
    </row>
  </sheetData>
  <phoneticPr fontId="28" type="noConversion"/>
  <pageMargins left="0.25" right="0.25" top="0.75" bottom="0.75" header="0.3" footer="0.3"/>
  <pageSetup paperSize="9" scale="70" firstPageNumber="429496729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50"/>
  <sheetViews>
    <sheetView workbookViewId="0">
      <selection activeCell="A18" sqref="A18"/>
    </sheetView>
  </sheetViews>
  <sheetFormatPr defaultRowHeight="15" x14ac:dyDescent="0.25"/>
  <cols>
    <col min="1" max="1" width="29.42578125" bestFit="1" customWidth="1"/>
    <col min="2" max="2" width="11.7109375" customWidth="1"/>
    <col min="3" max="3" width="13.7109375" customWidth="1"/>
    <col min="5" max="5" width="16.140625" customWidth="1"/>
    <col min="6" max="6" width="10.28515625" bestFit="1" customWidth="1"/>
    <col min="7" max="7" width="9.42578125" bestFit="1" customWidth="1"/>
    <col min="8" max="8" width="11.7109375" customWidth="1"/>
    <col min="9" max="9" width="13.42578125" customWidth="1"/>
    <col min="11" max="11" width="11.7109375" customWidth="1"/>
    <col min="12" max="12" width="9.42578125" bestFit="1" customWidth="1"/>
    <col min="13" max="13" width="12.28515625" customWidth="1"/>
    <col min="14" max="14" width="12.85546875" bestFit="1" customWidth="1"/>
  </cols>
  <sheetData>
    <row r="1" spans="1:14" x14ac:dyDescent="0.25">
      <c r="A1" s="155" t="s">
        <v>121</v>
      </c>
      <c r="C1" s="155"/>
      <c r="D1" s="135" t="str">
        <f>'ВСЕ затраты'!B1</f>
        <v>2025-2026гг.</v>
      </c>
      <c r="E1" s="155"/>
      <c r="F1" s="155"/>
      <c r="G1" s="155"/>
      <c r="H1" s="155"/>
      <c r="I1" s="161"/>
      <c r="J1" s="161"/>
      <c r="K1" s="161"/>
      <c r="L1" s="161"/>
      <c r="M1" s="161"/>
      <c r="N1" s="156"/>
    </row>
    <row r="2" spans="1:14" x14ac:dyDescent="0.25">
      <c r="A2" s="156"/>
      <c r="B2" s="140" t="s">
        <v>9</v>
      </c>
      <c r="C2" s="138" t="s">
        <v>14</v>
      </c>
      <c r="D2" s="140" t="s">
        <v>15</v>
      </c>
      <c r="E2" s="138" t="s">
        <v>16</v>
      </c>
      <c r="F2" s="140" t="s">
        <v>17</v>
      </c>
      <c r="G2" s="138" t="s">
        <v>18</v>
      </c>
      <c r="H2" s="140" t="s">
        <v>19</v>
      </c>
      <c r="I2" s="138" t="s">
        <v>4</v>
      </c>
      <c r="J2" s="140" t="s">
        <v>5</v>
      </c>
      <c r="K2" s="138" t="s">
        <v>6</v>
      </c>
      <c r="L2" s="140" t="s">
        <v>7</v>
      </c>
      <c r="M2" s="138" t="s">
        <v>8</v>
      </c>
      <c r="N2" s="138" t="s">
        <v>90</v>
      </c>
    </row>
    <row r="3" spans="1:14" x14ac:dyDescent="0.25">
      <c r="A3" s="148" t="s">
        <v>151</v>
      </c>
      <c r="B3" s="189">
        <v>14370</v>
      </c>
      <c r="C3" s="189">
        <v>14856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333">
        <f t="shared" ref="N3:N47" si="0">SUM(B3:M3)</f>
        <v>29226</v>
      </c>
    </row>
    <row r="4" spans="1:14" x14ac:dyDescent="0.25">
      <c r="A4" s="161" t="s">
        <v>152</v>
      </c>
      <c r="B4" s="189"/>
      <c r="C4" s="189">
        <f>1233.6+1253.6</f>
        <v>2487.1999999999998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333">
        <f t="shared" si="0"/>
        <v>2487.1999999999998</v>
      </c>
    </row>
    <row r="5" spans="1:14" x14ac:dyDescent="0.25">
      <c r="A5" s="161" t="s">
        <v>165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333">
        <f t="shared" si="0"/>
        <v>0</v>
      </c>
    </row>
    <row r="6" spans="1:14" x14ac:dyDescent="0.25">
      <c r="A6" s="161" t="s">
        <v>144</v>
      </c>
      <c r="B6" s="189">
        <v>6378</v>
      </c>
      <c r="C6" s="189">
        <f>2743.2+2743.2+2743.2</f>
        <v>8229.5999999999985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333">
        <f t="shared" si="0"/>
        <v>14607.599999999999</v>
      </c>
    </row>
    <row r="7" spans="1:14" x14ac:dyDescent="0.25">
      <c r="A7" s="161" t="s">
        <v>192</v>
      </c>
      <c r="B7" s="178">
        <v>2100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333">
        <f t="shared" si="0"/>
        <v>2100</v>
      </c>
    </row>
    <row r="8" spans="1:14" x14ac:dyDescent="0.25">
      <c r="A8" s="142" t="s">
        <v>212</v>
      </c>
      <c r="B8" s="189"/>
      <c r="C8" s="190">
        <v>25500</v>
      </c>
      <c r="D8" s="334"/>
      <c r="E8" s="334"/>
      <c r="F8" s="334"/>
      <c r="G8" s="334"/>
      <c r="H8" s="334"/>
      <c r="I8" s="334"/>
      <c r="J8" s="190"/>
      <c r="K8" s="190"/>
      <c r="L8" s="190"/>
      <c r="M8" s="190"/>
      <c r="N8" s="333">
        <f>SUM(B8:M8)</f>
        <v>25500</v>
      </c>
    </row>
    <row r="9" spans="1:14" x14ac:dyDescent="0.25">
      <c r="A9" s="161" t="s">
        <v>213</v>
      </c>
      <c r="B9" s="178"/>
      <c r="C9" s="178">
        <v>41014</v>
      </c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333">
        <f t="shared" si="0"/>
        <v>41014</v>
      </c>
    </row>
    <row r="10" spans="1:14" x14ac:dyDescent="0.25">
      <c r="A10" s="165" t="s">
        <v>220</v>
      </c>
      <c r="B10" s="178"/>
      <c r="C10" s="178">
        <v>1442</v>
      </c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333">
        <f t="shared" si="0"/>
        <v>1442</v>
      </c>
    </row>
    <row r="11" spans="1:14" x14ac:dyDescent="0.25">
      <c r="A11" s="165" t="s">
        <v>221</v>
      </c>
      <c r="B11" s="178"/>
      <c r="C11" s="178">
        <v>2000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333">
        <f t="shared" si="0"/>
        <v>2000</v>
      </c>
    </row>
    <row r="12" spans="1:14" x14ac:dyDescent="0.25">
      <c r="A12" s="165" t="s">
        <v>222</v>
      </c>
      <c r="B12" s="178"/>
      <c r="C12" s="178">
        <v>3111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333">
        <f t="shared" si="0"/>
        <v>3111</v>
      </c>
    </row>
    <row r="13" spans="1:14" x14ac:dyDescent="0.25">
      <c r="A13" s="165" t="s">
        <v>223</v>
      </c>
      <c r="B13" s="178"/>
      <c r="C13" s="178">
        <v>453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333">
        <f t="shared" si="0"/>
        <v>453</v>
      </c>
    </row>
    <row r="14" spans="1:14" x14ac:dyDescent="0.25">
      <c r="A14" s="165" t="s">
        <v>224</v>
      </c>
      <c r="B14" s="178"/>
      <c r="C14" s="178">
        <f>350+350+500</f>
        <v>1200</v>
      </c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333">
        <f t="shared" si="0"/>
        <v>1200</v>
      </c>
    </row>
    <row r="15" spans="1:14" x14ac:dyDescent="0.25">
      <c r="A15" s="165" t="s">
        <v>229</v>
      </c>
      <c r="B15" s="178"/>
      <c r="C15" s="178">
        <v>1200</v>
      </c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333">
        <f t="shared" si="0"/>
        <v>1200</v>
      </c>
    </row>
    <row r="16" spans="1:14" x14ac:dyDescent="0.25">
      <c r="A16" s="165" t="s">
        <v>192</v>
      </c>
      <c r="B16" s="178"/>
      <c r="C16" s="178">
        <v>2500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333">
        <f t="shared" si="0"/>
        <v>2500</v>
      </c>
    </row>
    <row r="17" spans="1:14" x14ac:dyDescent="0.25">
      <c r="A17" s="336" t="s">
        <v>230</v>
      </c>
      <c r="B17" s="178"/>
      <c r="C17" s="178">
        <v>550.48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333">
        <f t="shared" si="0"/>
        <v>550.48</v>
      </c>
    </row>
    <row r="18" spans="1:14" x14ac:dyDescent="0.25">
      <c r="A18" s="165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333">
        <f t="shared" si="0"/>
        <v>0</v>
      </c>
    </row>
    <row r="19" spans="1:14" x14ac:dyDescent="0.25">
      <c r="A19" s="165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333">
        <f t="shared" si="0"/>
        <v>0</v>
      </c>
    </row>
    <row r="20" spans="1:14" x14ac:dyDescent="0.25">
      <c r="A20" s="165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333">
        <f t="shared" si="0"/>
        <v>0</v>
      </c>
    </row>
    <row r="21" spans="1:14" x14ac:dyDescent="0.25">
      <c r="A21" s="165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333">
        <f t="shared" si="0"/>
        <v>0</v>
      </c>
    </row>
    <row r="22" spans="1:14" x14ac:dyDescent="0.25">
      <c r="A22" s="165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333">
        <f t="shared" si="0"/>
        <v>0</v>
      </c>
    </row>
    <row r="23" spans="1:14" x14ac:dyDescent="0.25">
      <c r="A23" s="165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333">
        <f t="shared" si="0"/>
        <v>0</v>
      </c>
    </row>
    <row r="24" spans="1:14" x14ac:dyDescent="0.25">
      <c r="A24" s="165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333">
        <f t="shared" si="0"/>
        <v>0</v>
      </c>
    </row>
    <row r="25" spans="1:14" x14ac:dyDescent="0.25">
      <c r="A25" s="165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333">
        <f t="shared" si="0"/>
        <v>0</v>
      </c>
    </row>
    <row r="26" spans="1:14" x14ac:dyDescent="0.25">
      <c r="A26" s="165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333">
        <f t="shared" si="0"/>
        <v>0</v>
      </c>
    </row>
    <row r="27" spans="1:14" x14ac:dyDescent="0.25">
      <c r="A27" s="165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333">
        <f t="shared" si="0"/>
        <v>0</v>
      </c>
    </row>
    <row r="28" spans="1:14" x14ac:dyDescent="0.25">
      <c r="A28" s="165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333">
        <f t="shared" si="0"/>
        <v>0</v>
      </c>
    </row>
    <row r="29" spans="1:14" x14ac:dyDescent="0.25">
      <c r="A29" s="165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333">
        <f t="shared" si="0"/>
        <v>0</v>
      </c>
    </row>
    <row r="30" spans="1:14" x14ac:dyDescent="0.25">
      <c r="A30" s="165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333">
        <f t="shared" si="0"/>
        <v>0</v>
      </c>
    </row>
    <row r="31" spans="1:14" x14ac:dyDescent="0.25">
      <c r="A31" s="165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333">
        <f t="shared" si="0"/>
        <v>0</v>
      </c>
    </row>
    <row r="32" spans="1:14" x14ac:dyDescent="0.25">
      <c r="A32" s="165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333">
        <f t="shared" si="0"/>
        <v>0</v>
      </c>
    </row>
    <row r="33" spans="1:14" x14ac:dyDescent="0.25">
      <c r="A33" s="165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333">
        <f t="shared" si="0"/>
        <v>0</v>
      </c>
    </row>
    <row r="34" spans="1:14" x14ac:dyDescent="0.25">
      <c r="A34" s="165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333">
        <f t="shared" si="0"/>
        <v>0</v>
      </c>
    </row>
    <row r="35" spans="1:14" x14ac:dyDescent="0.25">
      <c r="A35" s="165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333">
        <f t="shared" si="0"/>
        <v>0</v>
      </c>
    </row>
    <row r="36" spans="1:14" x14ac:dyDescent="0.25">
      <c r="A36" s="165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333">
        <f t="shared" si="0"/>
        <v>0</v>
      </c>
    </row>
    <row r="37" spans="1:14" x14ac:dyDescent="0.25">
      <c r="A37" s="165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333">
        <f t="shared" si="0"/>
        <v>0</v>
      </c>
    </row>
    <row r="38" spans="1:14" x14ac:dyDescent="0.25">
      <c r="A38" s="165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333">
        <f t="shared" si="0"/>
        <v>0</v>
      </c>
    </row>
    <row r="39" spans="1:14" x14ac:dyDescent="0.25">
      <c r="A39" s="165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333">
        <f t="shared" si="0"/>
        <v>0</v>
      </c>
    </row>
    <row r="40" spans="1:14" x14ac:dyDescent="0.25">
      <c r="A40" s="165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333">
        <f t="shared" si="0"/>
        <v>0</v>
      </c>
    </row>
    <row r="41" spans="1:14" x14ac:dyDescent="0.25">
      <c r="A41" s="165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333">
        <f t="shared" ref="N41:N43" si="1">SUM(B41:M41)</f>
        <v>0</v>
      </c>
    </row>
    <row r="42" spans="1:14" x14ac:dyDescent="0.25">
      <c r="A42" s="165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333">
        <f t="shared" si="1"/>
        <v>0</v>
      </c>
    </row>
    <row r="43" spans="1:14" x14ac:dyDescent="0.25">
      <c r="A43" s="165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333">
        <f t="shared" si="1"/>
        <v>0</v>
      </c>
    </row>
    <row r="44" spans="1:14" x14ac:dyDescent="0.25">
      <c r="A44" s="165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333">
        <f t="shared" si="0"/>
        <v>0</v>
      </c>
    </row>
    <row r="45" spans="1:14" x14ac:dyDescent="0.25">
      <c r="A45" s="165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333">
        <f t="shared" si="0"/>
        <v>0</v>
      </c>
    </row>
    <row r="46" spans="1:14" x14ac:dyDescent="0.25">
      <c r="A46" s="165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333">
        <f t="shared" si="0"/>
        <v>0</v>
      </c>
    </row>
    <row r="47" spans="1:14" x14ac:dyDescent="0.25">
      <c r="A47" s="165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333">
        <f t="shared" si="0"/>
        <v>0</v>
      </c>
    </row>
    <row r="48" spans="1:14" x14ac:dyDescent="0.25">
      <c r="A48" s="155" t="s">
        <v>90</v>
      </c>
      <c r="B48" s="153">
        <f t="shared" ref="B48:M48" si="2">SUM(B3:B47)</f>
        <v>22848</v>
      </c>
      <c r="C48" s="153">
        <f t="shared" si="2"/>
        <v>104543.28</v>
      </c>
      <c r="D48" s="153">
        <f t="shared" si="2"/>
        <v>0</v>
      </c>
      <c r="E48" s="153">
        <f t="shared" si="2"/>
        <v>0</v>
      </c>
      <c r="F48" s="153">
        <f t="shared" si="2"/>
        <v>0</v>
      </c>
      <c r="G48" s="153">
        <f t="shared" si="2"/>
        <v>0</v>
      </c>
      <c r="H48" s="153">
        <f t="shared" si="2"/>
        <v>0</v>
      </c>
      <c r="I48" s="153">
        <f t="shared" si="2"/>
        <v>0</v>
      </c>
      <c r="J48" s="153">
        <f t="shared" si="2"/>
        <v>0</v>
      </c>
      <c r="K48" s="153">
        <f t="shared" si="2"/>
        <v>0</v>
      </c>
      <c r="L48" s="153">
        <f t="shared" si="2"/>
        <v>0</v>
      </c>
      <c r="M48" s="153">
        <f t="shared" si="2"/>
        <v>0</v>
      </c>
      <c r="N48" s="291">
        <f t="shared" ref="N48" si="3">SUM(N3:N47)</f>
        <v>127391.28</v>
      </c>
    </row>
    <row r="49" spans="14:14" x14ac:dyDescent="0.25">
      <c r="N49" s="380">
        <f>B48+C48+D48+E48+F48+G48+H48+I48+J48+K48+L48+M48</f>
        <v>127391.28</v>
      </c>
    </row>
    <row r="50" spans="14:14" x14ac:dyDescent="0.25">
      <c r="N50" s="160"/>
    </row>
  </sheetData>
  <phoneticPr fontId="28" type="noConversion"/>
  <pageMargins left="0.25" right="0.25" top="0.75" bottom="0.75" header="0.3" footer="0.3"/>
  <pageSetup paperSize="9" scale="68" firstPageNumber="42949672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4"/>
  <sheetViews>
    <sheetView workbookViewId="0">
      <selection activeCell="C5" sqref="C5"/>
    </sheetView>
  </sheetViews>
  <sheetFormatPr defaultRowHeight="15" x14ac:dyDescent="0.25"/>
  <cols>
    <col min="1" max="1" width="29.85546875" style="94" bestFit="1" customWidth="1"/>
    <col min="2" max="2" width="11.5703125" style="1" bestFit="1" customWidth="1"/>
    <col min="3" max="3" width="9.28515625" style="1" bestFit="1" customWidth="1"/>
    <col min="4" max="4" width="8" style="1" customWidth="1"/>
    <col min="5" max="5" width="12.85546875" style="1" customWidth="1"/>
    <col min="6" max="6" width="10.85546875" style="1" customWidth="1"/>
    <col min="7" max="7" width="10.7109375" style="1" customWidth="1"/>
    <col min="8" max="8" width="9.28515625" style="1" bestFit="1" customWidth="1"/>
    <col min="9" max="11" width="10.28515625" style="1" bestFit="1" customWidth="1"/>
    <col min="12" max="13" width="9.28515625" style="1" bestFit="1" customWidth="1"/>
    <col min="14" max="14" width="13.140625" style="200" bestFit="1" customWidth="1"/>
  </cols>
  <sheetData>
    <row r="1" spans="1:14" x14ac:dyDescent="0.25">
      <c r="A1" s="133" t="s">
        <v>107</v>
      </c>
      <c r="B1" s="135" t="str">
        <f>'ВСЕ затраты'!B1</f>
        <v>2025-2026гг.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98"/>
    </row>
    <row r="2" spans="1:14" x14ac:dyDescent="0.25">
      <c r="A2" s="137"/>
      <c r="B2" s="147" t="s">
        <v>9</v>
      </c>
      <c r="C2" s="138" t="s">
        <v>14</v>
      </c>
      <c r="D2" s="147" t="s">
        <v>15</v>
      </c>
      <c r="E2" s="138" t="s">
        <v>16</v>
      </c>
      <c r="F2" s="147" t="s">
        <v>17</v>
      </c>
      <c r="G2" s="138" t="s">
        <v>18</v>
      </c>
      <c r="H2" s="147" t="s">
        <v>19</v>
      </c>
      <c r="I2" s="138" t="s">
        <v>4</v>
      </c>
      <c r="J2" s="147" t="s">
        <v>5</v>
      </c>
      <c r="K2" s="138" t="s">
        <v>6</v>
      </c>
      <c r="L2" s="147" t="s">
        <v>7</v>
      </c>
      <c r="M2" s="138" t="s">
        <v>8</v>
      </c>
      <c r="N2" s="199"/>
    </row>
    <row r="3" spans="1:14" x14ac:dyDescent="0.25">
      <c r="A3" s="176" t="s">
        <v>225</v>
      </c>
      <c r="B3" s="178"/>
      <c r="C3" s="178">
        <v>380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80">
        <f t="shared" ref="N3:N39" si="0">SUM(B3:M3)</f>
        <v>380</v>
      </c>
    </row>
    <row r="4" spans="1:14" x14ac:dyDescent="0.25">
      <c r="A4" s="176" t="s">
        <v>226</v>
      </c>
      <c r="B4" s="178"/>
      <c r="C4" s="178">
        <v>6600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80">
        <f t="shared" si="0"/>
        <v>6600</v>
      </c>
    </row>
    <row r="5" spans="1:14" x14ac:dyDescent="0.25">
      <c r="A5" s="176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80">
        <f t="shared" si="0"/>
        <v>0</v>
      </c>
    </row>
    <row r="6" spans="1:14" x14ac:dyDescent="0.25">
      <c r="A6" s="176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80">
        <f t="shared" si="0"/>
        <v>0</v>
      </c>
    </row>
    <row r="7" spans="1:14" x14ac:dyDescent="0.25">
      <c r="A7" s="165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82">
        <f t="shared" si="0"/>
        <v>0</v>
      </c>
    </row>
    <row r="8" spans="1:14" x14ac:dyDescent="0.25">
      <c r="A8" s="165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82">
        <f t="shared" si="0"/>
        <v>0</v>
      </c>
    </row>
    <row r="9" spans="1:14" x14ac:dyDescent="0.25">
      <c r="A9" s="165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82">
        <f t="shared" si="0"/>
        <v>0</v>
      </c>
    </row>
    <row r="10" spans="1:14" x14ac:dyDescent="0.25">
      <c r="A10" s="165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82">
        <f t="shared" si="0"/>
        <v>0</v>
      </c>
    </row>
    <row r="11" spans="1:14" x14ac:dyDescent="0.25">
      <c r="A11" s="165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82">
        <f t="shared" si="0"/>
        <v>0</v>
      </c>
    </row>
    <row r="12" spans="1:14" x14ac:dyDescent="0.25">
      <c r="A12" s="165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82">
        <f t="shared" si="0"/>
        <v>0</v>
      </c>
    </row>
    <row r="13" spans="1:14" x14ac:dyDescent="0.25">
      <c r="A13" s="165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82">
        <f t="shared" si="0"/>
        <v>0</v>
      </c>
    </row>
    <row r="14" spans="1:14" x14ac:dyDescent="0.25">
      <c r="A14" s="176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80">
        <f t="shared" si="0"/>
        <v>0</v>
      </c>
    </row>
    <row r="15" spans="1:14" x14ac:dyDescent="0.25">
      <c r="A15" s="176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80">
        <f t="shared" si="0"/>
        <v>0</v>
      </c>
    </row>
    <row r="16" spans="1:14" x14ac:dyDescent="0.25">
      <c r="A16" s="176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80">
        <f t="shared" si="0"/>
        <v>0</v>
      </c>
    </row>
    <row r="17" spans="1:14" x14ac:dyDescent="0.25">
      <c r="A17" s="176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80">
        <f t="shared" si="0"/>
        <v>0</v>
      </c>
    </row>
    <row r="18" spans="1:14" x14ac:dyDescent="0.25">
      <c r="A18" s="176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80">
        <f t="shared" si="0"/>
        <v>0</v>
      </c>
    </row>
    <row r="19" spans="1:14" x14ac:dyDescent="0.25">
      <c r="A19" s="176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80">
        <f t="shared" si="0"/>
        <v>0</v>
      </c>
    </row>
    <row r="20" spans="1:14" x14ac:dyDescent="0.25">
      <c r="A20" s="176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80">
        <f t="shared" si="0"/>
        <v>0</v>
      </c>
    </row>
    <row r="21" spans="1:14" x14ac:dyDescent="0.25">
      <c r="A21" s="176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80">
        <f t="shared" si="0"/>
        <v>0</v>
      </c>
    </row>
    <row r="22" spans="1:14" x14ac:dyDescent="0.25">
      <c r="A22" s="176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80">
        <f t="shared" si="0"/>
        <v>0</v>
      </c>
    </row>
    <row r="23" spans="1:14" x14ac:dyDescent="0.25">
      <c r="A23" s="176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80">
        <f t="shared" si="0"/>
        <v>0</v>
      </c>
    </row>
    <row r="24" spans="1:14" x14ac:dyDescent="0.25">
      <c r="A24" s="176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80">
        <f t="shared" si="0"/>
        <v>0</v>
      </c>
    </row>
    <row r="25" spans="1:14" x14ac:dyDescent="0.25">
      <c r="A25" s="176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80">
        <f t="shared" si="0"/>
        <v>0</v>
      </c>
    </row>
    <row r="26" spans="1:14" x14ac:dyDescent="0.25">
      <c r="A26" s="176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80">
        <f t="shared" si="0"/>
        <v>0</v>
      </c>
    </row>
    <row r="27" spans="1:14" x14ac:dyDescent="0.25">
      <c r="A27" s="176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80">
        <f t="shared" si="0"/>
        <v>0</v>
      </c>
    </row>
    <row r="28" spans="1:14" x14ac:dyDescent="0.25">
      <c r="A28" s="176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80">
        <f t="shared" si="0"/>
        <v>0</v>
      </c>
    </row>
    <row r="29" spans="1:14" x14ac:dyDescent="0.25">
      <c r="A29" s="176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80">
        <f t="shared" si="0"/>
        <v>0</v>
      </c>
    </row>
    <row r="30" spans="1:14" x14ac:dyDescent="0.25">
      <c r="A30" s="176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80">
        <f t="shared" si="0"/>
        <v>0</v>
      </c>
    </row>
    <row r="31" spans="1:14" x14ac:dyDescent="0.25">
      <c r="A31" s="176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80">
        <f t="shared" si="0"/>
        <v>0</v>
      </c>
    </row>
    <row r="32" spans="1:14" x14ac:dyDescent="0.25">
      <c r="A32" s="176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80">
        <f t="shared" si="0"/>
        <v>0</v>
      </c>
    </row>
    <row r="33" spans="1:14" x14ac:dyDescent="0.25">
      <c r="A33" s="176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80">
        <f t="shared" si="0"/>
        <v>0</v>
      </c>
    </row>
    <row r="34" spans="1:14" x14ac:dyDescent="0.25">
      <c r="A34" s="176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80">
        <f t="shared" si="0"/>
        <v>0</v>
      </c>
    </row>
    <row r="35" spans="1:14" x14ac:dyDescent="0.25">
      <c r="A35" s="176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80">
        <f t="shared" si="0"/>
        <v>0</v>
      </c>
    </row>
    <row r="36" spans="1:14" x14ac:dyDescent="0.25">
      <c r="A36" s="176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80">
        <f t="shared" si="0"/>
        <v>0</v>
      </c>
    </row>
    <row r="37" spans="1:14" x14ac:dyDescent="0.25">
      <c r="A37" s="176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80">
        <f t="shared" si="0"/>
        <v>0</v>
      </c>
    </row>
    <row r="38" spans="1:14" x14ac:dyDescent="0.25">
      <c r="A38" s="176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80">
        <f t="shared" si="0"/>
        <v>0</v>
      </c>
    </row>
    <row r="39" spans="1:14" x14ac:dyDescent="0.25">
      <c r="A39" s="176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80">
        <f t="shared" si="0"/>
        <v>0</v>
      </c>
    </row>
    <row r="40" spans="1:14" x14ac:dyDescent="0.25">
      <c r="A40" s="176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80">
        <f t="shared" ref="N40:N61" si="1">SUM(B40:M40)</f>
        <v>0</v>
      </c>
    </row>
    <row r="41" spans="1:14" x14ac:dyDescent="0.25">
      <c r="A41" s="176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80">
        <f t="shared" si="1"/>
        <v>0</v>
      </c>
    </row>
    <row r="42" spans="1:14" x14ac:dyDescent="0.25">
      <c r="A42" s="176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0">
        <f t="shared" si="1"/>
        <v>0</v>
      </c>
    </row>
    <row r="43" spans="1:14" x14ac:dyDescent="0.25">
      <c r="A43" s="176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0">
        <f t="shared" si="1"/>
        <v>0</v>
      </c>
    </row>
    <row r="44" spans="1:14" x14ac:dyDescent="0.25">
      <c r="A44" s="176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0">
        <f t="shared" si="1"/>
        <v>0</v>
      </c>
    </row>
    <row r="45" spans="1:14" x14ac:dyDescent="0.25">
      <c r="A45" s="176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0">
        <f t="shared" si="1"/>
        <v>0</v>
      </c>
    </row>
    <row r="46" spans="1:14" x14ac:dyDescent="0.25">
      <c r="A46" s="176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0">
        <f t="shared" si="1"/>
        <v>0</v>
      </c>
    </row>
    <row r="47" spans="1:14" x14ac:dyDescent="0.25">
      <c r="A47" s="176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0">
        <f t="shared" si="1"/>
        <v>0</v>
      </c>
    </row>
    <row r="48" spans="1:14" x14ac:dyDescent="0.25">
      <c r="A48" s="176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80">
        <f t="shared" si="1"/>
        <v>0</v>
      </c>
    </row>
    <row r="49" spans="1:14" x14ac:dyDescent="0.25">
      <c r="A49" s="176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80">
        <f t="shared" si="1"/>
        <v>0</v>
      </c>
    </row>
    <row r="50" spans="1:14" x14ac:dyDescent="0.25">
      <c r="A50" s="176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80">
        <f t="shared" si="1"/>
        <v>0</v>
      </c>
    </row>
    <row r="51" spans="1:14" x14ac:dyDescent="0.25">
      <c r="A51" s="176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80">
        <f t="shared" si="1"/>
        <v>0</v>
      </c>
    </row>
    <row r="52" spans="1:14" x14ac:dyDescent="0.25">
      <c r="A52" s="176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80">
        <f t="shared" si="1"/>
        <v>0</v>
      </c>
    </row>
    <row r="53" spans="1:14" x14ac:dyDescent="0.25">
      <c r="A53" s="176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80">
        <f t="shared" si="1"/>
        <v>0</v>
      </c>
    </row>
    <row r="54" spans="1:14" x14ac:dyDescent="0.25">
      <c r="A54" s="176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80">
        <f t="shared" si="1"/>
        <v>0</v>
      </c>
    </row>
    <row r="55" spans="1:14" x14ac:dyDescent="0.25">
      <c r="A55" s="176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80">
        <f t="shared" si="1"/>
        <v>0</v>
      </c>
    </row>
    <row r="56" spans="1:14" x14ac:dyDescent="0.25">
      <c r="A56" s="176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80">
        <f t="shared" si="1"/>
        <v>0</v>
      </c>
    </row>
    <row r="57" spans="1:14" x14ac:dyDescent="0.25">
      <c r="A57" s="176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80">
        <f t="shared" si="1"/>
        <v>0</v>
      </c>
    </row>
    <row r="58" spans="1:14" x14ac:dyDescent="0.25">
      <c r="A58" s="176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80">
        <f t="shared" si="1"/>
        <v>0</v>
      </c>
    </row>
    <row r="59" spans="1:14" x14ac:dyDescent="0.25">
      <c r="A59" s="176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80">
        <f t="shared" si="1"/>
        <v>0</v>
      </c>
    </row>
    <row r="60" spans="1:14" x14ac:dyDescent="0.25">
      <c r="A60" s="176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80">
        <f t="shared" si="1"/>
        <v>0</v>
      </c>
    </row>
    <row r="61" spans="1:14" x14ac:dyDescent="0.25">
      <c r="A61" s="176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80">
        <f t="shared" si="1"/>
        <v>0</v>
      </c>
    </row>
    <row r="62" spans="1:14" x14ac:dyDescent="0.25">
      <c r="A62" s="133" t="s">
        <v>90</v>
      </c>
      <c r="B62" s="185">
        <f t="shared" ref="B62:N62" si="2">SUM(B3:B61)</f>
        <v>0</v>
      </c>
      <c r="C62" s="185">
        <f t="shared" si="2"/>
        <v>6980</v>
      </c>
      <c r="D62" s="185">
        <f t="shared" si="2"/>
        <v>0</v>
      </c>
      <c r="E62" s="185">
        <f t="shared" si="2"/>
        <v>0</v>
      </c>
      <c r="F62" s="185">
        <f t="shared" si="2"/>
        <v>0</v>
      </c>
      <c r="G62" s="185">
        <f t="shared" si="2"/>
        <v>0</v>
      </c>
      <c r="H62" s="185">
        <f>SUM(H3:H61)</f>
        <v>0</v>
      </c>
      <c r="I62" s="185">
        <f t="shared" si="2"/>
        <v>0</v>
      </c>
      <c r="J62" s="185">
        <f t="shared" si="2"/>
        <v>0</v>
      </c>
      <c r="K62" s="185">
        <f t="shared" si="2"/>
        <v>0</v>
      </c>
      <c r="L62" s="185">
        <f t="shared" si="2"/>
        <v>0</v>
      </c>
      <c r="M62" s="185">
        <f t="shared" si="2"/>
        <v>0</v>
      </c>
      <c r="N62" s="185">
        <f t="shared" si="2"/>
        <v>6980</v>
      </c>
    </row>
    <row r="63" spans="1:14" x14ac:dyDescent="0.25">
      <c r="N63" s="200">
        <f>B62+C62+D62+E62+G62+H62+I62+J62+K62+L62</f>
        <v>6980</v>
      </c>
    </row>
    <row r="64" spans="1:14" x14ac:dyDescent="0.25">
      <c r="N64" s="200">
        <f>SUM(B62:M62)-N62</f>
        <v>0</v>
      </c>
    </row>
  </sheetData>
  <phoneticPr fontId="2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rstPageNumber="42949672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57"/>
  <sheetViews>
    <sheetView workbookViewId="0">
      <selection activeCell="C15" sqref="C15"/>
    </sheetView>
  </sheetViews>
  <sheetFormatPr defaultRowHeight="15" x14ac:dyDescent="0.25"/>
  <cols>
    <col min="1" max="1" width="45.7109375" customWidth="1"/>
    <col min="2" max="3" width="10.28515625" bestFit="1" customWidth="1"/>
    <col min="4" max="8" width="10.28515625" customWidth="1"/>
    <col min="9" max="10" width="10.28515625" bestFit="1" customWidth="1"/>
    <col min="11" max="11" width="10.42578125" bestFit="1" customWidth="1"/>
    <col min="12" max="12" width="10.28515625" bestFit="1" customWidth="1"/>
    <col min="14" max="14" width="12.85546875" bestFit="1" customWidth="1"/>
    <col min="18" max="18" width="10.28515625" bestFit="1" customWidth="1"/>
  </cols>
  <sheetData>
    <row r="1" spans="1:14" x14ac:dyDescent="0.25">
      <c r="A1" s="155" t="s">
        <v>108</v>
      </c>
      <c r="B1" s="135" t="str">
        <f>'ВСЕ затраты'!B1</f>
        <v>2025-2026гг.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56"/>
    </row>
    <row r="2" spans="1:14" x14ac:dyDescent="0.25">
      <c r="A2" s="156"/>
      <c r="B2" s="177" t="s">
        <v>9</v>
      </c>
      <c r="C2" s="172" t="s">
        <v>14</v>
      </c>
      <c r="D2" s="177" t="s">
        <v>15</v>
      </c>
      <c r="E2" s="172" t="s">
        <v>16</v>
      </c>
      <c r="F2" s="177" t="s">
        <v>17</v>
      </c>
      <c r="G2" s="172" t="s">
        <v>18</v>
      </c>
      <c r="H2" s="177" t="s">
        <v>19</v>
      </c>
      <c r="I2" s="172" t="s">
        <v>4</v>
      </c>
      <c r="J2" s="177" t="s">
        <v>5</v>
      </c>
      <c r="K2" s="172" t="s">
        <v>6</v>
      </c>
      <c r="L2" s="177" t="s">
        <v>7</v>
      </c>
      <c r="M2" s="172" t="s">
        <v>8</v>
      </c>
      <c r="N2" s="152"/>
    </row>
    <row r="3" spans="1:14" x14ac:dyDescent="0.25">
      <c r="A3" s="176" t="s">
        <v>157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>
        <f t="shared" ref="N3:N54" si="0">SUM(B3:M3)</f>
        <v>0</v>
      </c>
    </row>
    <row r="4" spans="1:14" s="323" customFormat="1" ht="14.25" x14ac:dyDescent="0.2">
      <c r="A4" s="329" t="s">
        <v>207</v>
      </c>
      <c r="B4" s="328">
        <v>3029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>
        <f t="shared" ref="N4:N6" si="1">SUM(B4:M4)</f>
        <v>3029</v>
      </c>
    </row>
    <row r="5" spans="1:14" s="323" customFormat="1" ht="14.25" x14ac:dyDescent="0.2">
      <c r="A5" s="329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>
        <f t="shared" si="1"/>
        <v>0</v>
      </c>
    </row>
    <row r="6" spans="1:14" s="323" customFormat="1" ht="14.25" x14ac:dyDescent="0.2">
      <c r="A6" s="329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>
        <f t="shared" si="1"/>
        <v>0</v>
      </c>
    </row>
    <row r="7" spans="1:14" s="323" customFormat="1" ht="14.25" x14ac:dyDescent="0.2">
      <c r="A7" s="329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>
        <f>SUM(B7:M7)</f>
        <v>0</v>
      </c>
    </row>
    <row r="8" spans="1:14" x14ac:dyDescent="0.25">
      <c r="A8" s="165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333">
        <f>SUM(B8:M8)</f>
        <v>0</v>
      </c>
    </row>
    <row r="9" spans="1:14" x14ac:dyDescent="0.25">
      <c r="A9" s="152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>
        <f t="shared" si="0"/>
        <v>0</v>
      </c>
    </row>
    <row r="10" spans="1:14" x14ac:dyDescent="0.25">
      <c r="A10" s="152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>
        <f t="shared" si="0"/>
        <v>0</v>
      </c>
    </row>
    <row r="11" spans="1:14" x14ac:dyDescent="0.25">
      <c r="A11" s="304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>
        <f t="shared" si="0"/>
        <v>0</v>
      </c>
    </row>
    <row r="12" spans="1:14" x14ac:dyDescent="0.25">
      <c r="A12" s="304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>
        <f t="shared" si="0"/>
        <v>0</v>
      </c>
    </row>
    <row r="13" spans="1:14" x14ac:dyDescent="0.25">
      <c r="A13" s="304" t="s">
        <v>161</v>
      </c>
      <c r="B13" s="178">
        <v>187785</v>
      </c>
      <c r="C13" s="178">
        <f>9973.21+9973.21+9973.21</f>
        <v>29919.629999999997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>
        <f t="shared" si="0"/>
        <v>217704.63</v>
      </c>
    </row>
    <row r="14" spans="1:14" x14ac:dyDescent="0.25">
      <c r="A14" s="152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>
        <f t="shared" si="0"/>
        <v>0</v>
      </c>
    </row>
    <row r="15" spans="1:14" x14ac:dyDescent="0.25">
      <c r="A15" s="33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>
        <f t="shared" si="0"/>
        <v>0</v>
      </c>
    </row>
    <row r="16" spans="1:14" x14ac:dyDescent="0.25">
      <c r="A16" s="152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>
        <f t="shared" si="0"/>
        <v>0</v>
      </c>
    </row>
    <row r="17" spans="1:14" x14ac:dyDescent="0.25">
      <c r="A17" s="305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>
        <f t="shared" si="0"/>
        <v>0</v>
      </c>
    </row>
    <row r="18" spans="1:14" x14ac:dyDescent="0.25">
      <c r="A18" s="176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303">
        <f t="shared" si="0"/>
        <v>0</v>
      </c>
    </row>
    <row r="19" spans="1:14" x14ac:dyDescent="0.25">
      <c r="A19" s="174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>
        <f t="shared" si="0"/>
        <v>0</v>
      </c>
    </row>
    <row r="20" spans="1:14" hidden="1" x14ac:dyDescent="0.25">
      <c r="A20" s="174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>
        <f t="shared" si="0"/>
        <v>0</v>
      </c>
    </row>
    <row r="21" spans="1:14" hidden="1" x14ac:dyDescent="0.25">
      <c r="A21" s="174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>
        <f t="shared" si="0"/>
        <v>0</v>
      </c>
    </row>
    <row r="22" spans="1:14" hidden="1" x14ac:dyDescent="0.25">
      <c r="A22" s="174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>
        <f t="shared" si="0"/>
        <v>0</v>
      </c>
    </row>
    <row r="23" spans="1:14" hidden="1" x14ac:dyDescent="0.25">
      <c r="A23" s="174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>
        <f t="shared" si="0"/>
        <v>0</v>
      </c>
    </row>
    <row r="24" spans="1:14" hidden="1" x14ac:dyDescent="0.25">
      <c r="A24" s="174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>
        <f t="shared" si="0"/>
        <v>0</v>
      </c>
    </row>
    <row r="25" spans="1:14" hidden="1" x14ac:dyDescent="0.25">
      <c r="A25" s="174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>
        <f t="shared" si="0"/>
        <v>0</v>
      </c>
    </row>
    <row r="26" spans="1:14" hidden="1" x14ac:dyDescent="0.25">
      <c r="A26" s="174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>
        <f t="shared" si="0"/>
        <v>0</v>
      </c>
    </row>
    <row r="27" spans="1:14" hidden="1" x14ac:dyDescent="0.25">
      <c r="A27" s="174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>
        <f t="shared" si="0"/>
        <v>0</v>
      </c>
    </row>
    <row r="28" spans="1:14" hidden="1" x14ac:dyDescent="0.25">
      <c r="A28" s="174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>
        <f t="shared" si="0"/>
        <v>0</v>
      </c>
    </row>
    <row r="29" spans="1:14" hidden="1" x14ac:dyDescent="0.25">
      <c r="A29" s="174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>
        <f t="shared" si="0"/>
        <v>0</v>
      </c>
    </row>
    <row r="30" spans="1:14" hidden="1" x14ac:dyDescent="0.25">
      <c r="A30" s="174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>
        <f t="shared" si="0"/>
        <v>0</v>
      </c>
    </row>
    <row r="31" spans="1:14" hidden="1" x14ac:dyDescent="0.25">
      <c r="A31" s="174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>
        <f t="shared" si="0"/>
        <v>0</v>
      </c>
    </row>
    <row r="32" spans="1:14" hidden="1" x14ac:dyDescent="0.25">
      <c r="A32" s="174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>
        <f t="shared" si="0"/>
        <v>0</v>
      </c>
    </row>
    <row r="33" spans="1:14" hidden="1" x14ac:dyDescent="0.25">
      <c r="A33" s="174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>
        <f t="shared" si="0"/>
        <v>0</v>
      </c>
    </row>
    <row r="34" spans="1:14" hidden="1" x14ac:dyDescent="0.25">
      <c r="A34" s="17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>
        <f t="shared" si="0"/>
        <v>0</v>
      </c>
    </row>
    <row r="35" spans="1:14" hidden="1" x14ac:dyDescent="0.25">
      <c r="A35" s="174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>
        <f t="shared" si="0"/>
        <v>0</v>
      </c>
    </row>
    <row r="36" spans="1:14" hidden="1" x14ac:dyDescent="0.25">
      <c r="A36" s="174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>
        <f t="shared" si="0"/>
        <v>0</v>
      </c>
    </row>
    <row r="37" spans="1:14" hidden="1" x14ac:dyDescent="0.25">
      <c r="A37" s="174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>
        <f t="shared" si="0"/>
        <v>0</v>
      </c>
    </row>
    <row r="38" spans="1:14" hidden="1" x14ac:dyDescent="0.25">
      <c r="A38" s="174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>
        <f t="shared" si="0"/>
        <v>0</v>
      </c>
    </row>
    <row r="39" spans="1:14" hidden="1" x14ac:dyDescent="0.25">
      <c r="A39" s="174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>
        <f t="shared" si="0"/>
        <v>0</v>
      </c>
    </row>
    <row r="40" spans="1:14" hidden="1" x14ac:dyDescent="0.25">
      <c r="A40" s="174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>
        <f t="shared" si="0"/>
        <v>0</v>
      </c>
    </row>
    <row r="41" spans="1:14" hidden="1" x14ac:dyDescent="0.25">
      <c r="A41" s="174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>
        <f t="shared" si="0"/>
        <v>0</v>
      </c>
    </row>
    <row r="42" spans="1:14" hidden="1" x14ac:dyDescent="0.25">
      <c r="A42" s="152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303">
        <f t="shared" si="0"/>
        <v>0</v>
      </c>
    </row>
    <row r="43" spans="1:14" hidden="1" x14ac:dyDescent="0.25">
      <c r="A43" s="152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>
        <f t="shared" si="0"/>
        <v>0</v>
      </c>
    </row>
    <row r="44" spans="1:14" hidden="1" x14ac:dyDescent="0.25">
      <c r="A44" s="306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>
        <f t="shared" si="0"/>
        <v>0</v>
      </c>
    </row>
    <row r="45" spans="1:14" hidden="1" x14ac:dyDescent="0.25">
      <c r="A45" s="174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>
        <f t="shared" si="0"/>
        <v>0</v>
      </c>
    </row>
    <row r="46" spans="1:14" hidden="1" x14ac:dyDescent="0.25">
      <c r="A46" s="306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>
        <f t="shared" si="0"/>
        <v>0</v>
      </c>
    </row>
    <row r="47" spans="1:14" hidden="1" x14ac:dyDescent="0.25">
      <c r="A47" s="152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>
        <f t="shared" si="0"/>
        <v>0</v>
      </c>
    </row>
    <row r="48" spans="1:14" hidden="1" x14ac:dyDescent="0.25">
      <c r="A48" s="152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>
        <f t="shared" si="0"/>
        <v>0</v>
      </c>
    </row>
    <row r="49" spans="1:14" hidden="1" x14ac:dyDescent="0.25">
      <c r="A49" s="152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>
        <f t="shared" si="0"/>
        <v>0</v>
      </c>
    </row>
    <row r="50" spans="1:14" hidden="1" x14ac:dyDescent="0.25">
      <c r="A50" s="152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>
        <f t="shared" si="0"/>
        <v>0</v>
      </c>
    </row>
    <row r="51" spans="1:14" hidden="1" x14ac:dyDescent="0.25">
      <c r="A51" s="152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>
        <f t="shared" si="0"/>
        <v>0</v>
      </c>
    </row>
    <row r="52" spans="1:14" hidden="1" x14ac:dyDescent="0.25">
      <c r="A52" s="152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>
        <f t="shared" si="0"/>
        <v>0</v>
      </c>
    </row>
    <row r="53" spans="1:14" x14ac:dyDescent="0.25">
      <c r="A53" s="304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>
        <f t="shared" si="0"/>
        <v>0</v>
      </c>
    </row>
    <row r="54" spans="1:14" x14ac:dyDescent="0.25">
      <c r="A54" s="345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78">
        <f t="shared" si="0"/>
        <v>0</v>
      </c>
    </row>
    <row r="55" spans="1:14" x14ac:dyDescent="0.25">
      <c r="A55" s="155" t="s">
        <v>90</v>
      </c>
      <c r="B55" s="166">
        <f>SUM(B3:B54)</f>
        <v>190814</v>
      </c>
      <c r="C55" s="166">
        <f>SUM(C3:C54)</f>
        <v>29919.629999999997</v>
      </c>
      <c r="D55" s="166">
        <f t="shared" ref="D55:M55" si="2">SUM(D3:D54)</f>
        <v>0</v>
      </c>
      <c r="E55" s="166">
        <f t="shared" si="2"/>
        <v>0</v>
      </c>
      <c r="F55" s="166">
        <f t="shared" si="2"/>
        <v>0</v>
      </c>
      <c r="G55" s="166">
        <f t="shared" si="2"/>
        <v>0</v>
      </c>
      <c r="H55" s="166">
        <f t="shared" si="2"/>
        <v>0</v>
      </c>
      <c r="I55" s="166">
        <f t="shared" si="2"/>
        <v>0</v>
      </c>
      <c r="J55" s="166">
        <f t="shared" si="2"/>
        <v>0</v>
      </c>
      <c r="K55" s="166">
        <f t="shared" si="2"/>
        <v>0</v>
      </c>
      <c r="L55" s="166">
        <f t="shared" si="2"/>
        <v>0</v>
      </c>
      <c r="M55" s="166">
        <f t="shared" si="2"/>
        <v>0</v>
      </c>
      <c r="N55" s="166">
        <f>SUM(N3:N54)</f>
        <v>220733.63</v>
      </c>
    </row>
    <row r="56" spans="1:14" x14ac:dyDescent="0.25">
      <c r="N56" s="380">
        <f>B55+C55+D55+E55+F55+G55+H55+I55+K55+L55+M55</f>
        <v>220733.63</v>
      </c>
    </row>
    <row r="57" spans="1:14" x14ac:dyDescent="0.25">
      <c r="N57" s="160">
        <f>SUM(B55:M55)-N55</f>
        <v>0</v>
      </c>
    </row>
  </sheetData>
  <phoneticPr fontId="28" type="noConversion"/>
  <pageMargins left="0.25" right="0.25" top="0.75" bottom="0.75" header="0.3" footer="0.3"/>
  <pageSetup paperSize="9" scale="81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V80"/>
  <sheetViews>
    <sheetView tabSelected="1" view="pageBreakPreview" topLeftCell="A4" zoomScaleNormal="100" zoomScaleSheetLayoutView="100" workbookViewId="0">
      <selection activeCell="I53" sqref="I53"/>
    </sheetView>
  </sheetViews>
  <sheetFormatPr defaultColWidth="9.140625" defaultRowHeight="15" x14ac:dyDescent="0.25"/>
  <cols>
    <col min="1" max="1" width="37.28515625" style="274" customWidth="1"/>
    <col min="2" max="2" width="14.7109375" style="215" bestFit="1" customWidth="1"/>
    <col min="3" max="3" width="13.5703125" style="215" customWidth="1"/>
    <col min="4" max="4" width="13.7109375" style="210" bestFit="1" customWidth="1"/>
    <col min="5" max="6" width="14.140625" style="210" bestFit="1" customWidth="1"/>
    <col min="7" max="7" width="13.7109375" style="210" bestFit="1" customWidth="1"/>
    <col min="8" max="8" width="14.5703125" style="210" bestFit="1" customWidth="1"/>
    <col min="9" max="11" width="16.28515625" style="210" bestFit="1" customWidth="1"/>
    <col min="12" max="12" width="22.85546875" style="210" bestFit="1" customWidth="1"/>
    <col min="13" max="13" width="16.28515625" style="210" bestFit="1" customWidth="1"/>
    <col min="14" max="14" width="15.85546875" style="210" customWidth="1"/>
    <col min="15" max="15" width="14" style="210" customWidth="1"/>
    <col min="16" max="16" width="14.7109375" style="215" customWidth="1"/>
    <col min="17" max="17" width="19" style="215" customWidth="1"/>
    <col min="18" max="18" width="16" style="215" bestFit="1" customWidth="1"/>
    <col min="19" max="19" width="15.5703125" style="211" bestFit="1" customWidth="1"/>
    <col min="20" max="16384" width="9.140625" style="211"/>
  </cols>
  <sheetData>
    <row r="1" spans="1:19" ht="18" customHeight="1" x14ac:dyDescent="0.35">
      <c r="A1" s="289" t="s">
        <v>52</v>
      </c>
      <c r="B1" s="290" t="s">
        <v>175</v>
      </c>
      <c r="C1" s="210"/>
      <c r="P1" s="210"/>
      <c r="Q1" s="210"/>
      <c r="R1" s="210"/>
    </row>
    <row r="2" spans="1:19" ht="21" customHeight="1" x14ac:dyDescent="0.25">
      <c r="A2" s="212" t="s">
        <v>167</v>
      </c>
      <c r="B2" s="213"/>
      <c r="C2" s="214"/>
      <c r="D2" s="214"/>
      <c r="E2" s="214"/>
      <c r="F2" s="214"/>
      <c r="G2" s="214"/>
      <c r="H2" s="214"/>
      <c r="I2" s="339"/>
      <c r="J2" s="214"/>
      <c r="K2" s="214"/>
      <c r="L2" s="214"/>
      <c r="M2" s="214"/>
      <c r="N2" s="214"/>
      <c r="O2" s="214"/>
      <c r="P2" s="214"/>
      <c r="Q2" s="215">
        <v>12</v>
      </c>
      <c r="R2" s="215" t="s">
        <v>53</v>
      </c>
    </row>
    <row r="3" spans="1:19" ht="37.5" customHeight="1" x14ac:dyDescent="0.3">
      <c r="A3" s="216" t="s">
        <v>1</v>
      </c>
      <c r="B3" s="300" t="s">
        <v>2</v>
      </c>
      <c r="C3" s="300" t="s">
        <v>54</v>
      </c>
      <c r="D3" s="301" t="s">
        <v>9</v>
      </c>
      <c r="E3" s="301" t="s">
        <v>14</v>
      </c>
      <c r="F3" s="301" t="s">
        <v>15</v>
      </c>
      <c r="G3" s="301" t="s">
        <v>16</v>
      </c>
      <c r="H3" s="301" t="s">
        <v>17</v>
      </c>
      <c r="I3" s="301" t="s">
        <v>18</v>
      </c>
      <c r="J3" s="301" t="s">
        <v>19</v>
      </c>
      <c r="K3" s="301" t="s">
        <v>4</v>
      </c>
      <c r="L3" s="301" t="s">
        <v>5</v>
      </c>
      <c r="M3" s="301" t="s">
        <v>6</v>
      </c>
      <c r="N3" s="301" t="s">
        <v>7</v>
      </c>
      <c r="O3" s="301" t="s">
        <v>8</v>
      </c>
      <c r="P3" s="300" t="str">
        <f>CONCATENATE("Итого за ",Q2," мес.")</f>
        <v>Итого за 12 мес.</v>
      </c>
      <c r="Q3" s="300" t="str">
        <f>CONCATENATE("Бюджет          за ",Q2," мес.")</f>
        <v>Бюджет          за 12 мес.</v>
      </c>
      <c r="R3" s="302" t="s">
        <v>12</v>
      </c>
    </row>
    <row r="4" spans="1:19" ht="15" customHeight="1" x14ac:dyDescent="0.25">
      <c r="A4" s="218" t="s">
        <v>55</v>
      </c>
      <c r="B4" s="357">
        <v>2513040</v>
      </c>
      <c r="C4" s="220"/>
      <c r="D4" s="221">
        <f t="shared" ref="D4:O4" si="0">D5*100/$C$5</f>
        <v>70.933273517105007</v>
      </c>
      <c r="E4" s="221">
        <f t="shared" si="0"/>
        <v>92.867677362993192</v>
      </c>
      <c r="F4" s="221">
        <f t="shared" si="0"/>
        <v>0</v>
      </c>
      <c r="G4" s="221">
        <f t="shared" si="0"/>
        <v>0</v>
      </c>
      <c r="H4" s="221">
        <f t="shared" si="0"/>
        <v>0</v>
      </c>
      <c r="I4" s="221">
        <f t="shared" si="0"/>
        <v>0</v>
      </c>
      <c r="J4" s="221">
        <f t="shared" si="0"/>
        <v>0</v>
      </c>
      <c r="K4" s="221">
        <f t="shared" si="0"/>
        <v>0</v>
      </c>
      <c r="L4" s="221">
        <f t="shared" si="0"/>
        <v>0</v>
      </c>
      <c r="M4" s="221">
        <f t="shared" si="0"/>
        <v>0</v>
      </c>
      <c r="N4" s="221">
        <f t="shared" si="0"/>
        <v>0</v>
      </c>
      <c r="O4" s="221">
        <f t="shared" si="0"/>
        <v>0</v>
      </c>
      <c r="P4" s="220"/>
      <c r="Q4" s="222"/>
      <c r="R4" s="222"/>
    </row>
    <row r="5" spans="1:19" ht="15.75" x14ac:dyDescent="0.25">
      <c r="A5" s="218" t="s">
        <v>56</v>
      </c>
      <c r="B5" s="219">
        <v>54362059</v>
      </c>
      <c r="C5" s="223">
        <f>B5/12</f>
        <v>4530171.583333333</v>
      </c>
      <c r="D5" s="225">
        <v>3213399</v>
      </c>
      <c r="E5" s="225">
        <f>76675.93+276595.2+3853794</f>
        <v>4207065.13</v>
      </c>
      <c r="F5" s="224"/>
      <c r="G5" s="226"/>
      <c r="H5" s="226"/>
      <c r="I5" s="224"/>
      <c r="J5" s="224"/>
      <c r="K5" s="224"/>
      <c r="L5" s="224"/>
      <c r="M5" s="224"/>
      <c r="N5" s="224"/>
      <c r="O5" s="226"/>
      <c r="P5" s="227">
        <f>SUM(D5:O5)</f>
        <v>7420464.1299999999</v>
      </c>
      <c r="Q5" s="228">
        <f>C5*Q2</f>
        <v>54362059</v>
      </c>
      <c r="R5" s="229">
        <f>P5-Q5</f>
        <v>-46941594.869999997</v>
      </c>
    </row>
    <row r="6" spans="1:19" ht="15.75" x14ac:dyDescent="0.25">
      <c r="A6" s="218" t="s">
        <v>112</v>
      </c>
      <c r="B6" s="230"/>
      <c r="C6" s="231"/>
      <c r="D6" s="225"/>
      <c r="E6" s="225"/>
      <c r="F6" s="224"/>
      <c r="G6" s="226"/>
      <c r="H6" s="224"/>
      <c r="I6" s="224"/>
      <c r="J6" s="224"/>
      <c r="K6" s="224"/>
      <c r="L6" s="224"/>
      <c r="M6" s="224"/>
      <c r="N6" s="224"/>
      <c r="O6" s="226"/>
      <c r="P6" s="227">
        <f>SUM(D6:O6)</f>
        <v>0</v>
      </c>
      <c r="Q6" s="232"/>
      <c r="R6" s="229"/>
    </row>
    <row r="7" spans="1:19" ht="15.75" x14ac:dyDescent="0.25">
      <c r="A7" s="218" t="s">
        <v>118</v>
      </c>
      <c r="B7" s="297">
        <v>800000</v>
      </c>
      <c r="C7" s="298">
        <f>B7/12</f>
        <v>66666.666666666672</v>
      </c>
      <c r="D7" s="225">
        <v>59900</v>
      </c>
      <c r="E7" s="224">
        <f>53300-100</f>
        <v>53200</v>
      </c>
      <c r="F7" s="224"/>
      <c r="G7" s="224"/>
      <c r="H7" s="224"/>
      <c r="I7" s="224"/>
      <c r="J7" s="224"/>
      <c r="K7" s="224"/>
      <c r="L7" s="224"/>
      <c r="M7" s="224"/>
      <c r="N7" s="224"/>
      <c r="O7" s="226"/>
      <c r="P7" s="227">
        <f t="shared" ref="P7:P12" si="1">SUM(D7:O7)</f>
        <v>113100</v>
      </c>
      <c r="Q7" s="299">
        <f>C7*Q2</f>
        <v>800000</v>
      </c>
      <c r="R7" s="229">
        <f t="shared" ref="R7:R8" si="2">P7-Q7</f>
        <v>-686900</v>
      </c>
    </row>
    <row r="8" spans="1:19" ht="31.5" x14ac:dyDescent="0.25">
      <c r="A8" s="233" t="s">
        <v>122</v>
      </c>
      <c r="B8" s="234">
        <v>1256000</v>
      </c>
      <c r="C8" s="235">
        <f>B8/12</f>
        <v>104666.66666666667</v>
      </c>
      <c r="D8" s="236">
        <v>58016</v>
      </c>
      <c r="E8" s="236">
        <f>2926+43590+72902.52</f>
        <v>119418.52</v>
      </c>
      <c r="F8" s="236"/>
      <c r="G8" s="236"/>
      <c r="H8" s="236"/>
      <c r="I8" s="236"/>
      <c r="J8" s="236"/>
      <c r="K8" s="236"/>
      <c r="L8" s="236"/>
      <c r="M8" s="236"/>
      <c r="N8" s="236"/>
      <c r="O8" s="237"/>
      <c r="P8" s="238">
        <f t="shared" si="1"/>
        <v>177434.52000000002</v>
      </c>
      <c r="Q8" s="239">
        <f>C8*Q2</f>
        <v>1256000</v>
      </c>
      <c r="R8" s="344">
        <f t="shared" si="2"/>
        <v>-1078565.48</v>
      </c>
    </row>
    <row r="9" spans="1:19" ht="15.75" x14ac:dyDescent="0.25">
      <c r="A9" s="233" t="s">
        <v>123</v>
      </c>
      <c r="B9" s="241">
        <v>0</v>
      </c>
      <c r="C9" s="241">
        <v>0</v>
      </c>
      <c r="D9" s="236">
        <v>8000</v>
      </c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7"/>
      <c r="P9" s="227">
        <f t="shared" si="1"/>
        <v>8000</v>
      </c>
      <c r="Q9" s="239">
        <v>0</v>
      </c>
      <c r="R9" s="209">
        <v>0</v>
      </c>
    </row>
    <row r="10" spans="1:19" ht="15.75" x14ac:dyDescent="0.25">
      <c r="A10" s="240" t="s">
        <v>106</v>
      </c>
      <c r="B10" s="241">
        <v>0</v>
      </c>
      <c r="C10" s="241">
        <v>0</v>
      </c>
      <c r="D10" s="242">
        <v>33817</v>
      </c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27">
        <f t="shared" si="1"/>
        <v>33817</v>
      </c>
      <c r="Q10" s="242">
        <v>0</v>
      </c>
      <c r="R10" s="211">
        <v>0</v>
      </c>
    </row>
    <row r="11" spans="1:19" ht="15.75" x14ac:dyDescent="0.25">
      <c r="A11" s="240" t="s">
        <v>116</v>
      </c>
      <c r="B11" s="241">
        <v>0</v>
      </c>
      <c r="C11" s="241">
        <v>0</v>
      </c>
      <c r="D11" s="242">
        <v>3500</v>
      </c>
      <c r="E11" s="242">
        <v>1200</v>
      </c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27">
        <f t="shared" si="1"/>
        <v>4700</v>
      </c>
      <c r="Q11" s="242">
        <v>0</v>
      </c>
      <c r="R11" s="211">
        <v>0</v>
      </c>
    </row>
    <row r="12" spans="1:19" ht="15.75" x14ac:dyDescent="0.25">
      <c r="A12" s="240" t="s">
        <v>115</v>
      </c>
      <c r="B12" s="241">
        <v>0</v>
      </c>
      <c r="C12" s="241">
        <v>0</v>
      </c>
      <c r="D12" s="242">
        <v>349</v>
      </c>
      <c r="E12" s="242">
        <v>0</v>
      </c>
      <c r="F12" s="242">
        <v>0</v>
      </c>
      <c r="G12" s="242">
        <v>0</v>
      </c>
      <c r="H12" s="242">
        <v>0</v>
      </c>
      <c r="I12" s="242"/>
      <c r="J12" s="242"/>
      <c r="K12" s="242"/>
      <c r="L12" s="242"/>
      <c r="M12" s="242"/>
      <c r="N12" s="242"/>
      <c r="O12" s="242"/>
      <c r="P12" s="227">
        <f t="shared" si="1"/>
        <v>349</v>
      </c>
      <c r="Q12" s="242">
        <v>0</v>
      </c>
      <c r="R12" s="211">
        <v>0</v>
      </c>
    </row>
    <row r="13" spans="1:19" ht="15.75" x14ac:dyDescent="0.25">
      <c r="A13" s="360"/>
      <c r="B13" s="361">
        <v>0</v>
      </c>
      <c r="C13" s="361">
        <v>0</v>
      </c>
      <c r="D13" s="362">
        <v>0</v>
      </c>
      <c r="E13" s="362">
        <v>0</v>
      </c>
      <c r="F13" s="362">
        <v>0</v>
      </c>
      <c r="G13" s="362">
        <v>0</v>
      </c>
      <c r="H13" s="362">
        <v>0</v>
      </c>
      <c r="I13" s="362"/>
      <c r="J13" s="362"/>
      <c r="K13" s="362"/>
      <c r="L13" s="362"/>
      <c r="M13" s="362">
        <v>0</v>
      </c>
      <c r="N13" s="362">
        <v>0</v>
      </c>
      <c r="O13" s="362">
        <v>0</v>
      </c>
      <c r="P13" s="246"/>
      <c r="Q13" s="247">
        <v>0</v>
      </c>
      <c r="R13" s="211">
        <v>0</v>
      </c>
    </row>
    <row r="14" spans="1:19" ht="15.75" x14ac:dyDescent="0.25">
      <c r="A14" s="360"/>
      <c r="B14" s="361">
        <v>0</v>
      </c>
      <c r="C14" s="361">
        <v>0</v>
      </c>
      <c r="D14" s="362">
        <v>0</v>
      </c>
      <c r="E14" s="362"/>
      <c r="F14" s="362">
        <v>0</v>
      </c>
      <c r="G14" s="362">
        <v>0</v>
      </c>
      <c r="H14" s="362">
        <v>0</v>
      </c>
      <c r="I14" s="362">
        <v>0</v>
      </c>
      <c r="J14" s="362">
        <v>0</v>
      </c>
      <c r="K14" s="362">
        <v>0</v>
      </c>
      <c r="L14" s="362">
        <v>0</v>
      </c>
      <c r="M14" s="362">
        <v>0</v>
      </c>
      <c r="N14" s="362">
        <v>0</v>
      </c>
      <c r="O14" s="362">
        <v>0</v>
      </c>
      <c r="P14" s="246"/>
      <c r="Q14" s="247">
        <v>0</v>
      </c>
      <c r="R14" s="211">
        <v>0</v>
      </c>
    </row>
    <row r="15" spans="1:19" ht="16.5" thickBot="1" x14ac:dyDescent="0.3">
      <c r="A15" s="243" t="s">
        <v>117</v>
      </c>
      <c r="B15" s="244"/>
      <c r="C15" s="244"/>
      <c r="D15" s="245">
        <f>D56-D57</f>
        <v>28006</v>
      </c>
      <c r="E15" s="245">
        <f>E56-E57</f>
        <v>-9300</v>
      </c>
      <c r="F15" s="245">
        <f>F56-F57+F59-F60</f>
        <v>0</v>
      </c>
      <c r="G15" s="245"/>
      <c r="H15" s="245"/>
      <c r="I15" s="245">
        <f>I56-I57+I59-I60</f>
        <v>0</v>
      </c>
      <c r="J15" s="245">
        <f t="shared" ref="J15:O15" si="3">J56-J57+J59-J60</f>
        <v>0</v>
      </c>
      <c r="K15" s="245">
        <f t="shared" si="3"/>
        <v>0</v>
      </c>
      <c r="L15" s="245">
        <f t="shared" si="3"/>
        <v>0</v>
      </c>
      <c r="M15" s="245">
        <f t="shared" si="3"/>
        <v>0</v>
      </c>
      <c r="N15" s="245">
        <f>N56-N57+N59-N60</f>
        <v>0</v>
      </c>
      <c r="O15" s="245">
        <f t="shared" si="3"/>
        <v>0</v>
      </c>
      <c r="P15" s="246"/>
      <c r="Q15" s="247">
        <v>0</v>
      </c>
      <c r="R15" s="211">
        <v>0</v>
      </c>
    </row>
    <row r="16" spans="1:19" ht="15.75" x14ac:dyDescent="0.25">
      <c r="A16" s="248" t="s">
        <v>57</v>
      </c>
      <c r="B16" s="249">
        <f>SUM(B5:B12)</f>
        <v>56418059</v>
      </c>
      <c r="C16" s="250">
        <f>SUM(C5:C14)</f>
        <v>4701504.916666667</v>
      </c>
      <c r="D16" s="251">
        <f t="shared" ref="D16:O16" si="4">SUM(D5:D15)</f>
        <v>3404987</v>
      </c>
      <c r="E16" s="251">
        <f t="shared" si="4"/>
        <v>4371583.6499999994</v>
      </c>
      <c r="F16" s="251">
        <f t="shared" si="4"/>
        <v>0</v>
      </c>
      <c r="G16" s="251">
        <f t="shared" si="4"/>
        <v>0</v>
      </c>
      <c r="H16" s="251">
        <f t="shared" si="4"/>
        <v>0</v>
      </c>
      <c r="I16" s="251">
        <f t="shared" si="4"/>
        <v>0</v>
      </c>
      <c r="J16" s="251">
        <f t="shared" si="4"/>
        <v>0</v>
      </c>
      <c r="K16" s="251">
        <f t="shared" si="4"/>
        <v>0</v>
      </c>
      <c r="L16" s="251">
        <f t="shared" si="4"/>
        <v>0</v>
      </c>
      <c r="M16" s="251">
        <f>SUM(M5:M15)</f>
        <v>0</v>
      </c>
      <c r="N16" s="251">
        <f t="shared" si="4"/>
        <v>0</v>
      </c>
      <c r="O16" s="251">
        <f t="shared" si="4"/>
        <v>0</v>
      </c>
      <c r="P16" s="252">
        <f>SUM(D16:O16)</f>
        <v>7776570.6499999994</v>
      </c>
      <c r="Q16" s="253">
        <f>SUM(Q5:Q15)</f>
        <v>56418059</v>
      </c>
      <c r="R16" s="254">
        <f>P16-Q16</f>
        <v>-48641488.350000001</v>
      </c>
      <c r="S16" s="255"/>
    </row>
    <row r="17" spans="1:22" ht="15.75" x14ac:dyDescent="0.25">
      <c r="A17" s="248" t="s">
        <v>58</v>
      </c>
      <c r="B17" s="219">
        <f>B16+B4</f>
        <v>58931099</v>
      </c>
      <c r="C17" s="256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56"/>
      <c r="Q17" s="256"/>
      <c r="R17" s="256"/>
      <c r="S17" s="255"/>
    </row>
    <row r="18" spans="1:22" ht="33" customHeight="1" x14ac:dyDescent="0.3">
      <c r="A18" s="257" t="s">
        <v>26</v>
      </c>
      <c r="B18" s="258"/>
      <c r="C18" s="259"/>
      <c r="D18" s="293"/>
      <c r="E18" s="293"/>
      <c r="F18" s="293"/>
      <c r="G18" s="293"/>
      <c r="H18" s="293"/>
      <c r="I18" s="337"/>
      <c r="J18" s="293"/>
      <c r="K18" s="293"/>
      <c r="L18" s="293"/>
      <c r="M18" s="293"/>
      <c r="N18" s="293"/>
      <c r="O18" s="293"/>
      <c r="P18" s="259"/>
      <c r="Q18" s="260"/>
      <c r="R18" s="261" t="s">
        <v>27</v>
      </c>
    </row>
    <row r="19" spans="1:22" ht="15.75" x14ac:dyDescent="0.25">
      <c r="A19" s="262" t="s">
        <v>28</v>
      </c>
      <c r="B19" s="219">
        <v>1100000</v>
      </c>
      <c r="C19" s="223">
        <f t="shared" ref="C19:C38" si="5">B19/12</f>
        <v>91666.666666666672</v>
      </c>
      <c r="D19" s="311">
        <f>'общехоз расходы'!B149</f>
        <v>147132</v>
      </c>
      <c r="E19" s="311">
        <f>'общехоз расходы'!C149</f>
        <v>95017.59</v>
      </c>
      <c r="F19" s="311">
        <f>'общехоз расходы'!D149</f>
        <v>0</v>
      </c>
      <c r="G19" s="311"/>
      <c r="H19" s="311"/>
      <c r="I19" s="311">
        <f>'общехоз расходы'!G149</f>
        <v>0</v>
      </c>
      <c r="J19" s="311">
        <f>'общехоз расходы'!H149</f>
        <v>0</v>
      </c>
      <c r="K19" s="311">
        <f>'общехоз расходы'!I149</f>
        <v>0</v>
      </c>
      <c r="L19" s="311">
        <f>'общехоз расходы'!J149</f>
        <v>0</v>
      </c>
      <c r="M19" s="311">
        <f>'общехоз расходы'!K149</f>
        <v>0</v>
      </c>
      <c r="N19" s="311">
        <f>'общехоз расходы'!L149</f>
        <v>0</v>
      </c>
      <c r="O19" s="311">
        <f>'общехоз расходы'!M149</f>
        <v>0</v>
      </c>
      <c r="P19" s="246">
        <f t="shared" ref="P19:P38" si="6">SUM(D19:O19)</f>
        <v>242149.59</v>
      </c>
      <c r="Q19" s="228">
        <f t="shared" ref="Q19:Q32" si="7">C19*$Q$2</f>
        <v>1100000</v>
      </c>
      <c r="R19" s="264">
        <f>Q19-P19</f>
        <v>857850.41</v>
      </c>
    </row>
    <row r="20" spans="1:22" ht="15.75" x14ac:dyDescent="0.25">
      <c r="A20" s="217" t="s">
        <v>29</v>
      </c>
      <c r="B20" s="249">
        <v>100000</v>
      </c>
      <c r="C20" s="223">
        <f t="shared" si="5"/>
        <v>8333.3333333333339</v>
      </c>
      <c r="D20" s="312">
        <f>'прогр обесп'!B10</f>
        <v>0</v>
      </c>
      <c r="E20" s="312">
        <f>'прогр обесп'!C10</f>
        <v>14389</v>
      </c>
      <c r="F20" s="312">
        <f>'прогр обесп'!D10</f>
        <v>0</v>
      </c>
      <c r="G20" s="312"/>
      <c r="H20" s="312"/>
      <c r="I20" s="312">
        <f>'прогр обесп'!G10</f>
        <v>0</v>
      </c>
      <c r="J20" s="312">
        <f>'прогр обесп'!H10</f>
        <v>0</v>
      </c>
      <c r="K20" s="312">
        <f>'прогр обесп'!I10</f>
        <v>0</v>
      </c>
      <c r="L20" s="312">
        <f>'прогр обесп'!J10</f>
        <v>0</v>
      </c>
      <c r="M20" s="312">
        <f>'прогр обесп'!K10</f>
        <v>0</v>
      </c>
      <c r="N20" s="312">
        <f>'прогр обесп'!L10</f>
        <v>0</v>
      </c>
      <c r="O20" s="312">
        <f>'прогр обесп'!M10</f>
        <v>0</v>
      </c>
      <c r="P20" s="227">
        <f>SUM(D20:O20)</f>
        <v>14389</v>
      </c>
      <c r="Q20" s="228">
        <f t="shared" si="7"/>
        <v>100000</v>
      </c>
      <c r="R20" s="264">
        <f t="shared" ref="R20:R31" si="8">Q20-P20</f>
        <v>85611</v>
      </c>
    </row>
    <row r="21" spans="1:22" ht="15.75" x14ac:dyDescent="0.25">
      <c r="A21" s="262" t="s">
        <v>30</v>
      </c>
      <c r="B21" s="219">
        <v>130000</v>
      </c>
      <c r="C21" s="223">
        <f t="shared" si="5"/>
        <v>10833.333333333334</v>
      </c>
      <c r="D21" s="311">
        <f>связь!B11</f>
        <v>7500</v>
      </c>
      <c r="E21" s="311">
        <f>связь!C11</f>
        <v>14700</v>
      </c>
      <c r="F21" s="311">
        <f>связь!D11</f>
        <v>0</v>
      </c>
      <c r="G21" s="311"/>
      <c r="H21" s="311"/>
      <c r="I21" s="311">
        <f>связь!G11</f>
        <v>0</v>
      </c>
      <c r="J21" s="311">
        <f>связь!H11</f>
        <v>0</v>
      </c>
      <c r="K21" s="311">
        <f>связь!I11</f>
        <v>0</v>
      </c>
      <c r="L21" s="311">
        <f>связь!J11</f>
        <v>0</v>
      </c>
      <c r="M21" s="311">
        <f>связь!K11</f>
        <v>0</v>
      </c>
      <c r="N21" s="311">
        <f>связь!L11</f>
        <v>0</v>
      </c>
      <c r="O21" s="311">
        <f>связь!M11</f>
        <v>0</v>
      </c>
      <c r="P21" s="227">
        <f t="shared" si="6"/>
        <v>22200</v>
      </c>
      <c r="Q21" s="228">
        <f t="shared" si="7"/>
        <v>130000</v>
      </c>
      <c r="R21" s="264">
        <f t="shared" si="8"/>
        <v>107800</v>
      </c>
    </row>
    <row r="22" spans="1:22" ht="15.75" x14ac:dyDescent="0.25">
      <c r="A22" s="217" t="s">
        <v>59</v>
      </c>
      <c r="B22" s="249">
        <v>11500000</v>
      </c>
      <c r="C22" s="223">
        <f t="shared" si="5"/>
        <v>958333.33333333337</v>
      </c>
      <c r="D22" s="312">
        <f>'з пл'!B6</f>
        <v>728320</v>
      </c>
      <c r="E22" s="312">
        <f>'з пл'!C6</f>
        <v>1394847.53</v>
      </c>
      <c r="F22" s="312">
        <f>'з пл'!D6</f>
        <v>0</v>
      </c>
      <c r="G22" s="312"/>
      <c r="H22" s="312"/>
      <c r="I22" s="312">
        <f>'з пл'!G6</f>
        <v>0</v>
      </c>
      <c r="J22" s="312">
        <f>'з пл'!H6</f>
        <v>0</v>
      </c>
      <c r="K22" s="312">
        <f>'з пл'!I6</f>
        <v>0</v>
      </c>
      <c r="L22" s="312">
        <f>'з пл'!J6</f>
        <v>0</v>
      </c>
      <c r="M22" s="312">
        <f>'з пл'!K6</f>
        <v>0</v>
      </c>
      <c r="N22" s="312">
        <f>'з пл'!L6</f>
        <v>0</v>
      </c>
      <c r="O22" s="312">
        <f>'з пл'!M6</f>
        <v>0</v>
      </c>
      <c r="P22" s="227">
        <f t="shared" si="6"/>
        <v>2123167.5300000003</v>
      </c>
      <c r="Q22" s="228">
        <f t="shared" si="7"/>
        <v>11500000</v>
      </c>
      <c r="R22" s="264">
        <f t="shared" si="8"/>
        <v>9376832.4699999988</v>
      </c>
    </row>
    <row r="23" spans="1:22" ht="15.75" x14ac:dyDescent="0.25">
      <c r="A23" s="217" t="s">
        <v>33</v>
      </c>
      <c r="B23" s="249">
        <v>2365200</v>
      </c>
      <c r="C23" s="223">
        <f>B23/12</f>
        <v>197100</v>
      </c>
      <c r="D23" s="312">
        <f>премии!B5</f>
        <v>177200</v>
      </c>
      <c r="E23" s="312">
        <f>премии!C5</f>
        <v>182200</v>
      </c>
      <c r="F23" s="312">
        <f>премии!D5</f>
        <v>0</v>
      </c>
      <c r="G23" s="312"/>
      <c r="H23" s="312"/>
      <c r="I23" s="312"/>
      <c r="J23" s="312"/>
      <c r="K23" s="312"/>
      <c r="L23" s="312"/>
      <c r="M23" s="312"/>
      <c r="N23" s="312"/>
      <c r="O23" s="312"/>
      <c r="P23" s="227">
        <f>SUM(D23:O23)</f>
        <v>359400</v>
      </c>
      <c r="Q23" s="228">
        <f t="shared" si="7"/>
        <v>2365200</v>
      </c>
      <c r="R23" s="264">
        <f t="shared" si="8"/>
        <v>2005800</v>
      </c>
    </row>
    <row r="24" spans="1:22" ht="15.75" x14ac:dyDescent="0.25">
      <c r="A24" s="217" t="s">
        <v>34</v>
      </c>
      <c r="B24" s="249">
        <v>4187290</v>
      </c>
      <c r="C24" s="223">
        <f t="shared" si="5"/>
        <v>348940.83333333331</v>
      </c>
      <c r="D24" s="313">
        <f>'налог с ФОТ'!B6</f>
        <v>339561</v>
      </c>
      <c r="E24" s="313">
        <f>'налог с ФОТ'!C6</f>
        <v>620592.57999999996</v>
      </c>
      <c r="F24" s="313">
        <f>'налог с ФОТ'!D6</f>
        <v>0</v>
      </c>
      <c r="G24" s="313"/>
      <c r="H24" s="313"/>
      <c r="I24" s="313"/>
      <c r="J24" s="313"/>
      <c r="K24" s="313"/>
      <c r="L24" s="313"/>
      <c r="M24" s="313"/>
      <c r="N24" s="313"/>
      <c r="O24" s="313"/>
      <c r="P24" s="227">
        <f t="shared" si="6"/>
        <v>960153.58</v>
      </c>
      <c r="Q24" s="228">
        <f t="shared" si="7"/>
        <v>4187290</v>
      </c>
      <c r="R24" s="264">
        <f t="shared" si="8"/>
        <v>3227136.42</v>
      </c>
    </row>
    <row r="25" spans="1:22" ht="15.75" x14ac:dyDescent="0.25">
      <c r="A25" s="217" t="s">
        <v>168</v>
      </c>
      <c r="B25" s="249">
        <v>1000000</v>
      </c>
      <c r="C25" s="223">
        <f t="shared" si="5"/>
        <v>83333.333333333328</v>
      </c>
      <c r="D25" s="263">
        <v>80000</v>
      </c>
      <c r="E25" s="263">
        <v>80000</v>
      </c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27">
        <f t="shared" si="6"/>
        <v>160000</v>
      </c>
      <c r="Q25" s="228">
        <f t="shared" si="7"/>
        <v>1000000</v>
      </c>
      <c r="R25" s="264">
        <v>1000000</v>
      </c>
    </row>
    <row r="26" spans="1:22" ht="15.75" x14ac:dyDescent="0.25">
      <c r="A26" s="262" t="s">
        <v>36</v>
      </c>
      <c r="B26" s="219">
        <v>5700000</v>
      </c>
      <c r="C26" s="223">
        <f t="shared" si="5"/>
        <v>475000</v>
      </c>
      <c r="D26" s="311">
        <f>мусор!B10</f>
        <v>846038</v>
      </c>
      <c r="E26" s="311">
        <f>мусор!C10</f>
        <v>633238.43999999994</v>
      </c>
      <c r="F26" s="311">
        <f>мусор!D10</f>
        <v>0</v>
      </c>
      <c r="G26" s="311"/>
      <c r="H26" s="311"/>
      <c r="I26" s="311">
        <f>мусор!G10</f>
        <v>0</v>
      </c>
      <c r="J26" s="311">
        <f>мусор!H10</f>
        <v>0</v>
      </c>
      <c r="K26" s="311">
        <f>мусор!I10</f>
        <v>0</v>
      </c>
      <c r="L26" s="311">
        <f>мусор!J10</f>
        <v>0</v>
      </c>
      <c r="M26" s="311">
        <f>мусор!K10</f>
        <v>0</v>
      </c>
      <c r="N26" s="311">
        <f>мусор!L10</f>
        <v>0</v>
      </c>
      <c r="O26" s="311">
        <f>мусор!M10</f>
        <v>0</v>
      </c>
      <c r="P26" s="227">
        <f t="shared" si="6"/>
        <v>1479276.44</v>
      </c>
      <c r="Q26" s="228">
        <f>C26*$Q$2</f>
        <v>5700000</v>
      </c>
      <c r="R26" s="264">
        <f>Q26-P26</f>
        <v>4220723.5600000005</v>
      </c>
    </row>
    <row r="27" spans="1:22" ht="15.75" x14ac:dyDescent="0.25">
      <c r="A27" s="262" t="s">
        <v>37</v>
      </c>
      <c r="B27" s="219">
        <v>10224000</v>
      </c>
      <c r="C27" s="223">
        <f t="shared" si="5"/>
        <v>852000</v>
      </c>
      <c r="D27" s="263">
        <v>0</v>
      </c>
      <c r="E27" s="263">
        <v>0</v>
      </c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27">
        <f t="shared" si="6"/>
        <v>0</v>
      </c>
      <c r="Q27" s="228">
        <f t="shared" si="7"/>
        <v>10224000</v>
      </c>
      <c r="R27" s="264">
        <f t="shared" si="8"/>
        <v>10224000</v>
      </c>
    </row>
    <row r="28" spans="1:22" ht="15.75" x14ac:dyDescent="0.25">
      <c r="A28" s="262" t="s">
        <v>39</v>
      </c>
      <c r="B28" s="219">
        <v>500000</v>
      </c>
      <c r="C28" s="223">
        <f t="shared" si="5"/>
        <v>41666.666666666664</v>
      </c>
      <c r="D28" s="311">
        <f>вода!B50</f>
        <v>0</v>
      </c>
      <c r="E28" s="311">
        <f>вода!C50</f>
        <v>34382</v>
      </c>
      <c r="F28" s="311">
        <f>вода!D50</f>
        <v>0</v>
      </c>
      <c r="G28" s="311">
        <f>вода!E50</f>
        <v>0</v>
      </c>
      <c r="H28" s="311">
        <f>вода!F50</f>
        <v>0</v>
      </c>
      <c r="I28" s="311">
        <f>вода!G50</f>
        <v>0</v>
      </c>
      <c r="J28" s="311">
        <f>вода!H50</f>
        <v>0</v>
      </c>
      <c r="K28" s="311">
        <f>вода!I50</f>
        <v>0</v>
      </c>
      <c r="L28" s="311">
        <f>вода!J50</f>
        <v>0</v>
      </c>
      <c r="M28" s="311">
        <f>вода!K50</f>
        <v>0</v>
      </c>
      <c r="N28" s="311">
        <f>вода!L50</f>
        <v>0</v>
      </c>
      <c r="O28" s="311">
        <f>вода!M50</f>
        <v>0</v>
      </c>
      <c r="P28" s="227">
        <f t="shared" si="6"/>
        <v>34382</v>
      </c>
      <c r="Q28" s="228">
        <f t="shared" si="7"/>
        <v>500000</v>
      </c>
      <c r="R28" s="264">
        <f t="shared" si="8"/>
        <v>465618</v>
      </c>
    </row>
    <row r="29" spans="1:22" ht="15.75" x14ac:dyDescent="0.25">
      <c r="A29" s="262" t="s">
        <v>119</v>
      </c>
      <c r="B29" s="219">
        <v>1100000</v>
      </c>
      <c r="C29" s="223">
        <f t="shared" si="5"/>
        <v>91666.666666666672</v>
      </c>
      <c r="D29" s="311">
        <f>канализация!B64</f>
        <v>6000</v>
      </c>
      <c r="E29" s="311">
        <f>канализация!C64</f>
        <v>66650</v>
      </c>
      <c r="F29" s="311">
        <f>канализация!D64</f>
        <v>0</v>
      </c>
      <c r="G29" s="311"/>
      <c r="H29" s="311">
        <f>канализация!F64</f>
        <v>0</v>
      </c>
      <c r="I29" s="311">
        <f>канализация!G64</f>
        <v>0</v>
      </c>
      <c r="J29" s="311">
        <f>канализация!H64</f>
        <v>0</v>
      </c>
      <c r="K29" s="311">
        <f>канализация!I64</f>
        <v>0</v>
      </c>
      <c r="L29" s="311">
        <f>канализация!J64</f>
        <v>0</v>
      </c>
      <c r="M29" s="311">
        <f>канализация!K64</f>
        <v>0</v>
      </c>
      <c r="N29" s="311">
        <f>канализация!L64</f>
        <v>0</v>
      </c>
      <c r="O29" s="311">
        <f>канализация!M64</f>
        <v>0</v>
      </c>
      <c r="P29" s="227">
        <f t="shared" si="6"/>
        <v>72650</v>
      </c>
      <c r="Q29" s="228">
        <f t="shared" si="7"/>
        <v>1100000</v>
      </c>
      <c r="R29" s="264">
        <f t="shared" si="8"/>
        <v>1027350</v>
      </c>
    </row>
    <row r="30" spans="1:22" ht="15.75" x14ac:dyDescent="0.25">
      <c r="A30" s="262" t="s">
        <v>60</v>
      </c>
      <c r="B30" s="219">
        <v>2800000</v>
      </c>
      <c r="C30" s="223">
        <f t="shared" si="5"/>
        <v>233333.33333333334</v>
      </c>
      <c r="D30" s="311">
        <f>эл.снабж!B77</f>
        <v>271712</v>
      </c>
      <c r="E30" s="311">
        <f>эл.снабж!C77</f>
        <v>295504.81</v>
      </c>
      <c r="F30" s="311">
        <f>эл.снабж!D77</f>
        <v>0</v>
      </c>
      <c r="G30" s="311"/>
      <c r="H30" s="311">
        <f>эл.снабж!F77</f>
        <v>0</v>
      </c>
      <c r="I30" s="311">
        <f>эл.снабж!G77</f>
        <v>0</v>
      </c>
      <c r="J30" s="311">
        <f>эл.снабж!H77</f>
        <v>0</v>
      </c>
      <c r="K30" s="311">
        <f>эл.снабж!I77</f>
        <v>0</v>
      </c>
      <c r="L30" s="311">
        <f>эл.снабж!J77</f>
        <v>0</v>
      </c>
      <c r="M30" s="311">
        <f>эл.снабж!K77</f>
        <v>0</v>
      </c>
      <c r="N30" s="311">
        <f>эл.снабж!L77</f>
        <v>0</v>
      </c>
      <c r="O30" s="311">
        <f>эл.снабж!M77</f>
        <v>0</v>
      </c>
      <c r="P30" s="227">
        <f t="shared" si="6"/>
        <v>567216.81000000006</v>
      </c>
      <c r="Q30" s="228">
        <f t="shared" si="7"/>
        <v>2800000</v>
      </c>
      <c r="R30" s="264">
        <f t="shared" si="8"/>
        <v>2232783.19</v>
      </c>
      <c r="V30" s="211" t="s">
        <v>61</v>
      </c>
    </row>
    <row r="31" spans="1:22" ht="30" x14ac:dyDescent="0.25">
      <c r="A31" s="262" t="s">
        <v>120</v>
      </c>
      <c r="B31" s="219">
        <v>600000</v>
      </c>
      <c r="C31" s="223">
        <f t="shared" si="5"/>
        <v>50000</v>
      </c>
      <c r="D31" s="311">
        <f>'спец авто транспорт'!B48</f>
        <v>22848</v>
      </c>
      <c r="E31" s="311">
        <f>'спец авто транспорт'!C48</f>
        <v>104543.28</v>
      </c>
      <c r="F31" s="311">
        <f>'спец авто транспорт'!D48</f>
        <v>0</v>
      </c>
      <c r="G31" s="311"/>
      <c r="H31" s="311">
        <f>'спец авто транспорт'!F48</f>
        <v>0</v>
      </c>
      <c r="I31" s="311">
        <f>'спец авто транспорт'!G48</f>
        <v>0</v>
      </c>
      <c r="J31" s="311">
        <f>'спец авто транспорт'!H48</f>
        <v>0</v>
      </c>
      <c r="K31" s="311">
        <f>'спец авто транспорт'!I48</f>
        <v>0</v>
      </c>
      <c r="L31" s="311">
        <f>'спец авто транспорт'!J48</f>
        <v>0</v>
      </c>
      <c r="M31" s="311">
        <f>'спец авто транспорт'!K48</f>
        <v>0</v>
      </c>
      <c r="N31" s="311">
        <f>'спец авто транспорт'!L48</f>
        <v>0</v>
      </c>
      <c r="O31" s="311">
        <f>'спец авто транспорт'!M48</f>
        <v>0</v>
      </c>
      <c r="P31" s="227">
        <f t="shared" si="6"/>
        <v>127391.28</v>
      </c>
      <c r="Q31" s="228">
        <f t="shared" si="7"/>
        <v>600000</v>
      </c>
      <c r="R31" s="264">
        <f t="shared" si="8"/>
        <v>472608.72</v>
      </c>
    </row>
    <row r="32" spans="1:22" ht="15.75" x14ac:dyDescent="0.25">
      <c r="A32" s="262" t="s">
        <v>45</v>
      </c>
      <c r="B32" s="219">
        <v>550000</v>
      </c>
      <c r="C32" s="223">
        <f>B32/12</f>
        <v>45833.333333333336</v>
      </c>
      <c r="D32" s="311">
        <f>'благ-во'!B62</f>
        <v>0</v>
      </c>
      <c r="E32" s="311">
        <f>'благ-во'!C62</f>
        <v>6980</v>
      </c>
      <c r="F32" s="311">
        <f>'благ-во'!D62</f>
        <v>0</v>
      </c>
      <c r="G32" s="311"/>
      <c r="H32" s="311">
        <f>'благ-во'!F62</f>
        <v>0</v>
      </c>
      <c r="I32" s="311">
        <f>'благ-во'!G62</f>
        <v>0</v>
      </c>
      <c r="J32" s="311">
        <f>'благ-во'!H62</f>
        <v>0</v>
      </c>
      <c r="K32" s="311">
        <f>'благ-во'!I62</f>
        <v>0</v>
      </c>
      <c r="L32" s="311">
        <f>'благ-во'!J62</f>
        <v>0</v>
      </c>
      <c r="M32" s="311">
        <f>'благ-во'!K62</f>
        <v>0</v>
      </c>
      <c r="N32" s="311">
        <f>'благ-во'!L62</f>
        <v>0</v>
      </c>
      <c r="O32" s="311">
        <f>'благ-во'!M62</f>
        <v>0</v>
      </c>
      <c r="P32" s="227">
        <f t="shared" si="6"/>
        <v>6980</v>
      </c>
      <c r="Q32" s="228">
        <f t="shared" si="7"/>
        <v>550000</v>
      </c>
      <c r="R32" s="264">
        <f t="shared" ref="R32" si="9">Q32-P32</f>
        <v>543020</v>
      </c>
    </row>
    <row r="33" spans="1:19" ht="30" x14ac:dyDescent="0.25">
      <c r="A33" s="262" t="s">
        <v>135</v>
      </c>
      <c r="B33" s="219">
        <v>3000000</v>
      </c>
      <c r="C33" s="223">
        <f t="shared" si="5"/>
        <v>250000</v>
      </c>
      <c r="D33" s="263">
        <v>0</v>
      </c>
      <c r="E33" s="263">
        <v>0</v>
      </c>
      <c r="F33" s="263">
        <v>0</v>
      </c>
      <c r="G33" s="263">
        <v>0</v>
      </c>
      <c r="H33" s="263">
        <v>0</v>
      </c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/>
      <c r="O33" s="263"/>
      <c r="P33" s="227">
        <f t="shared" si="6"/>
        <v>0</v>
      </c>
      <c r="Q33" s="307">
        <v>3000000</v>
      </c>
      <c r="R33" s="310">
        <f>B33-P33</f>
        <v>3000000</v>
      </c>
    </row>
    <row r="34" spans="1:19" ht="15.75" x14ac:dyDescent="0.25">
      <c r="A34" s="262" t="s">
        <v>62</v>
      </c>
      <c r="B34" s="219">
        <v>900000</v>
      </c>
      <c r="C34" s="223">
        <f t="shared" si="5"/>
        <v>75000</v>
      </c>
      <c r="D34" s="263">
        <v>0</v>
      </c>
      <c r="E34" s="263"/>
      <c r="F34" s="263">
        <v>0</v>
      </c>
      <c r="G34" s="263">
        <v>0</v>
      </c>
      <c r="H34" s="263">
        <v>0</v>
      </c>
      <c r="I34" s="263">
        <v>0</v>
      </c>
      <c r="J34" s="263">
        <v>0</v>
      </c>
      <c r="K34" s="263">
        <v>0</v>
      </c>
      <c r="L34" s="263">
        <v>0</v>
      </c>
      <c r="M34" s="263">
        <v>0</v>
      </c>
      <c r="N34" s="263">
        <v>0</v>
      </c>
      <c r="O34" s="263">
        <v>0</v>
      </c>
      <c r="P34" s="227">
        <f t="shared" si="6"/>
        <v>0</v>
      </c>
      <c r="Q34" s="307">
        <v>900000</v>
      </c>
      <c r="R34" s="310">
        <f t="shared" ref="R34:R36" si="10">B34-P34</f>
        <v>900000</v>
      </c>
    </row>
    <row r="35" spans="1:19" ht="15.75" x14ac:dyDescent="0.25">
      <c r="A35" s="262" t="s">
        <v>133</v>
      </c>
      <c r="B35" s="230">
        <v>140000</v>
      </c>
      <c r="C35" s="223">
        <f t="shared" si="5"/>
        <v>11666.666666666666</v>
      </c>
      <c r="D35" s="267">
        <v>0</v>
      </c>
      <c r="E35" s="267"/>
      <c r="F35" s="267">
        <v>0</v>
      </c>
      <c r="G35" s="267">
        <v>0</v>
      </c>
      <c r="H35" s="267">
        <v>0</v>
      </c>
      <c r="I35" s="267">
        <v>0</v>
      </c>
      <c r="J35" s="267">
        <v>0</v>
      </c>
      <c r="K35" s="267">
        <v>0</v>
      </c>
      <c r="L35" s="267">
        <v>0</v>
      </c>
      <c r="M35" s="267">
        <v>0</v>
      </c>
      <c r="N35" s="267">
        <v>0</v>
      </c>
      <c r="O35" s="267">
        <v>0</v>
      </c>
      <c r="P35" s="227">
        <f t="shared" si="6"/>
        <v>0</v>
      </c>
      <c r="Q35" s="363">
        <v>140000</v>
      </c>
      <c r="R35" s="310">
        <f t="shared" si="10"/>
        <v>140000</v>
      </c>
    </row>
    <row r="36" spans="1:19" ht="15.75" x14ac:dyDescent="0.25">
      <c r="A36" s="266" t="s">
        <v>63</v>
      </c>
      <c r="B36" s="230">
        <v>271800</v>
      </c>
      <c r="C36" s="223">
        <f t="shared" si="5"/>
        <v>22650</v>
      </c>
      <c r="D36" s="267">
        <v>0</v>
      </c>
      <c r="E36" s="267">
        <v>0</v>
      </c>
      <c r="F36" s="267">
        <v>0</v>
      </c>
      <c r="G36" s="267"/>
      <c r="H36" s="267">
        <v>0</v>
      </c>
      <c r="I36" s="267">
        <v>0</v>
      </c>
      <c r="J36" s="267">
        <v>0</v>
      </c>
      <c r="K36" s="267">
        <v>0</v>
      </c>
      <c r="L36" s="267">
        <v>0</v>
      </c>
      <c r="M36" s="267">
        <v>0</v>
      </c>
      <c r="N36" s="267">
        <v>0</v>
      </c>
      <c r="O36" s="267">
        <v>0</v>
      </c>
      <c r="P36" s="227">
        <f t="shared" si="6"/>
        <v>0</v>
      </c>
      <c r="Q36" s="307">
        <v>271800</v>
      </c>
      <c r="R36" s="310">
        <f t="shared" si="10"/>
        <v>271800</v>
      </c>
    </row>
    <row r="37" spans="1:19" ht="15.75" x14ac:dyDescent="0.25">
      <c r="A37" s="266" t="s">
        <v>134</v>
      </c>
      <c r="B37" s="230">
        <v>42280</v>
      </c>
      <c r="C37" s="231">
        <f t="shared" si="5"/>
        <v>3523.3333333333335</v>
      </c>
      <c r="D37" s="267">
        <v>0</v>
      </c>
      <c r="E37" s="267">
        <v>0</v>
      </c>
      <c r="F37" s="267">
        <v>0</v>
      </c>
      <c r="G37" s="267"/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7">
        <v>0</v>
      </c>
      <c r="P37" s="350"/>
      <c r="Q37" s="351">
        <v>42280</v>
      </c>
      <c r="R37" s="352">
        <v>42280</v>
      </c>
    </row>
    <row r="38" spans="1:19" ht="16.5" thickBot="1" x14ac:dyDescent="0.3">
      <c r="A38" s="286" t="s">
        <v>166</v>
      </c>
      <c r="B38" s="269">
        <v>2310529</v>
      </c>
      <c r="C38" s="270">
        <f t="shared" si="5"/>
        <v>192544.08333333334</v>
      </c>
      <c r="D38" s="314">
        <v>190814</v>
      </c>
      <c r="E38" s="314">
        <f>'рез фонд'!C55</f>
        <v>29919.629999999997</v>
      </c>
      <c r="F38" s="314">
        <f>'рез фонд'!D55</f>
        <v>0</v>
      </c>
      <c r="G38" s="314">
        <f>'рез фонд'!E55</f>
        <v>0</v>
      </c>
      <c r="H38" s="314"/>
      <c r="I38" s="314">
        <f>'рез фонд'!G55</f>
        <v>0</v>
      </c>
      <c r="J38" s="314">
        <f>'рез фонд'!H55</f>
        <v>0</v>
      </c>
      <c r="K38" s="314">
        <f>'рез фонд'!I55</f>
        <v>0</v>
      </c>
      <c r="L38" s="314">
        <f>'рез фонд'!J55</f>
        <v>0</v>
      </c>
      <c r="M38" s="314">
        <f>'рез фонд'!K55</f>
        <v>0</v>
      </c>
      <c r="N38" s="314"/>
      <c r="O38" s="314">
        <f>'рез фонд'!M55</f>
        <v>0</v>
      </c>
      <c r="P38" s="272">
        <f t="shared" si="6"/>
        <v>220733.63</v>
      </c>
      <c r="Q38" s="308">
        <v>2310529</v>
      </c>
      <c r="R38" s="309">
        <f t="shared" ref="R38" si="11">B38-P38</f>
        <v>2089795.37</v>
      </c>
      <c r="S38" s="268"/>
    </row>
    <row r="39" spans="1:19" ht="31.5" x14ac:dyDescent="0.25">
      <c r="A39" s="287" t="s">
        <v>64</v>
      </c>
      <c r="B39" s="280">
        <f t="shared" ref="B39:P39" si="12">SUM(B19:B38)</f>
        <v>48521099</v>
      </c>
      <c r="C39" s="280">
        <f t="shared" si="12"/>
        <v>4043424.9166666665</v>
      </c>
      <c r="D39" s="280">
        <f t="shared" si="12"/>
        <v>2817125</v>
      </c>
      <c r="E39" s="280">
        <f>SUM(E19:E38)</f>
        <v>3572964.86</v>
      </c>
      <c r="F39" s="280">
        <f t="shared" si="12"/>
        <v>0</v>
      </c>
      <c r="G39" s="280">
        <f t="shared" si="12"/>
        <v>0</v>
      </c>
      <c r="H39" s="280">
        <f t="shared" si="12"/>
        <v>0</v>
      </c>
      <c r="I39" s="280">
        <f t="shared" si="12"/>
        <v>0</v>
      </c>
      <c r="J39" s="280">
        <f t="shared" si="12"/>
        <v>0</v>
      </c>
      <c r="K39" s="280">
        <f t="shared" si="12"/>
        <v>0</v>
      </c>
      <c r="L39" s="280">
        <f t="shared" si="12"/>
        <v>0</v>
      </c>
      <c r="M39" s="280">
        <f t="shared" si="12"/>
        <v>0</v>
      </c>
      <c r="N39" s="280">
        <f t="shared" si="12"/>
        <v>0</v>
      </c>
      <c r="O39" s="280">
        <f t="shared" si="12"/>
        <v>0</v>
      </c>
      <c r="P39" s="280">
        <f t="shared" si="12"/>
        <v>6390089.8600000013</v>
      </c>
      <c r="Q39" s="280">
        <f>Q19+Q20+Q21+Q22+Q23+Q24+Q26+Q27+Q28+Q29+Q30+Q31+Q32+Q33+Q34+Q35+Q36+Q37+Q38+Q25</f>
        <v>48521099</v>
      </c>
      <c r="R39" s="280">
        <f>SUM(R19:R38)</f>
        <v>42291009.139999993</v>
      </c>
      <c r="S39" s="268"/>
    </row>
    <row r="40" spans="1:19" ht="15.75" x14ac:dyDescent="0.25">
      <c r="A40" s="281"/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68"/>
    </row>
    <row r="41" spans="1:19" ht="15.75" x14ac:dyDescent="0.25">
      <c r="A41" s="284" t="s">
        <v>66</v>
      </c>
      <c r="B41" s="219">
        <v>7800000</v>
      </c>
      <c r="C41" s="223">
        <f t="shared" ref="C41:C47" si="13">B41/12</f>
        <v>650000</v>
      </c>
      <c r="D41" s="263">
        <v>1162900</v>
      </c>
      <c r="E41" s="263">
        <v>0</v>
      </c>
      <c r="F41" s="263"/>
      <c r="G41" s="263"/>
      <c r="H41" s="263">
        <v>0</v>
      </c>
      <c r="I41" s="263"/>
      <c r="J41" s="263">
        <v>0</v>
      </c>
      <c r="K41" s="263">
        <v>0</v>
      </c>
      <c r="L41" s="263"/>
      <c r="M41" s="263"/>
      <c r="N41" s="263"/>
      <c r="O41" s="263"/>
      <c r="P41" s="227">
        <f>SUM(D41:O41)</f>
        <v>1162900</v>
      </c>
      <c r="Q41" s="310">
        <v>7800000</v>
      </c>
      <c r="R41" s="282">
        <f t="shared" ref="R41:R47" si="14">B41-P41</f>
        <v>6637100</v>
      </c>
    </row>
    <row r="42" spans="1:19" ht="15.75" x14ac:dyDescent="0.25">
      <c r="A42" s="217" t="s">
        <v>169</v>
      </c>
      <c r="B42" s="249">
        <v>1070000</v>
      </c>
      <c r="C42" s="223">
        <f t="shared" si="13"/>
        <v>89166.666666666672</v>
      </c>
      <c r="D42" s="265">
        <v>940000</v>
      </c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27">
        <v>940000</v>
      </c>
      <c r="Q42" s="307">
        <v>1070000</v>
      </c>
      <c r="R42" s="282">
        <v>130000</v>
      </c>
    </row>
    <row r="43" spans="1:19" ht="15.75" x14ac:dyDescent="0.25">
      <c r="A43" s="217" t="s">
        <v>170</v>
      </c>
      <c r="B43" s="249">
        <v>250000</v>
      </c>
      <c r="C43" s="223">
        <f t="shared" si="13"/>
        <v>20833.333333333332</v>
      </c>
      <c r="D43" s="265">
        <v>250000</v>
      </c>
      <c r="E43" s="265">
        <v>0</v>
      </c>
      <c r="F43" s="265">
        <v>0</v>
      </c>
      <c r="G43" s="265">
        <v>0</v>
      </c>
      <c r="H43" s="265">
        <v>0</v>
      </c>
      <c r="I43" s="265">
        <v>0</v>
      </c>
      <c r="J43" s="265">
        <v>0</v>
      </c>
      <c r="K43" s="265">
        <v>0</v>
      </c>
      <c r="L43" s="265"/>
      <c r="M43" s="265">
        <v>0</v>
      </c>
      <c r="N43" s="265">
        <v>0</v>
      </c>
      <c r="O43" s="265">
        <v>0</v>
      </c>
      <c r="P43" s="227">
        <f t="shared" ref="P43:P47" si="15">SUM(D43:O43)</f>
        <v>250000</v>
      </c>
      <c r="Q43" s="307">
        <v>250000</v>
      </c>
      <c r="R43" s="282">
        <f t="shared" si="14"/>
        <v>0</v>
      </c>
    </row>
    <row r="44" spans="1:19" ht="15.75" x14ac:dyDescent="0.25">
      <c r="A44" s="217" t="s">
        <v>171</v>
      </c>
      <c r="B44" s="249">
        <v>450000</v>
      </c>
      <c r="C44" s="223">
        <f t="shared" si="13"/>
        <v>37500</v>
      </c>
      <c r="D44" s="265"/>
      <c r="E44" s="265">
        <v>0</v>
      </c>
      <c r="F44" s="265"/>
      <c r="G44" s="265">
        <v>0</v>
      </c>
      <c r="H44" s="265">
        <v>0</v>
      </c>
      <c r="I44" s="265">
        <v>0</v>
      </c>
      <c r="J44" s="265">
        <v>0</v>
      </c>
      <c r="K44" s="265">
        <v>0</v>
      </c>
      <c r="L44" s="265">
        <v>0</v>
      </c>
      <c r="M44" s="265">
        <v>0</v>
      </c>
      <c r="N44" s="265">
        <v>0</v>
      </c>
      <c r="O44" s="265">
        <v>0</v>
      </c>
      <c r="P44" s="227">
        <f t="shared" si="15"/>
        <v>0</v>
      </c>
      <c r="Q44" s="307">
        <v>450000</v>
      </c>
      <c r="R44" s="282">
        <f t="shared" si="14"/>
        <v>450000</v>
      </c>
    </row>
    <row r="45" spans="1:19" ht="15.75" x14ac:dyDescent="0.25">
      <c r="A45" s="262" t="s">
        <v>172</v>
      </c>
      <c r="B45" s="219">
        <v>540000</v>
      </c>
      <c r="C45" s="223">
        <f t="shared" si="13"/>
        <v>45000</v>
      </c>
      <c r="D45" s="263"/>
      <c r="E45" s="263">
        <v>0</v>
      </c>
      <c r="F45" s="263"/>
      <c r="G45" s="263">
        <v>0</v>
      </c>
      <c r="H45" s="263">
        <v>0</v>
      </c>
      <c r="I45" s="263">
        <v>0</v>
      </c>
      <c r="J45" s="263">
        <v>0</v>
      </c>
      <c r="K45" s="263">
        <v>0</v>
      </c>
      <c r="L45" s="263">
        <v>0</v>
      </c>
      <c r="M45" s="263">
        <v>0</v>
      </c>
      <c r="N45" s="263">
        <v>0</v>
      </c>
      <c r="O45" s="263">
        <v>0</v>
      </c>
      <c r="P45" s="227">
        <f t="shared" si="15"/>
        <v>0</v>
      </c>
      <c r="Q45" s="307">
        <v>540000</v>
      </c>
      <c r="R45" s="282">
        <f t="shared" si="14"/>
        <v>540000</v>
      </c>
    </row>
    <row r="46" spans="1:19" ht="15.75" x14ac:dyDescent="0.25">
      <c r="A46" s="262" t="s">
        <v>173</v>
      </c>
      <c r="B46" s="219">
        <v>100000</v>
      </c>
      <c r="C46" s="223">
        <f>B46/12</f>
        <v>8333.3333333333339</v>
      </c>
      <c r="D46" s="263">
        <v>0</v>
      </c>
      <c r="E46" s="263">
        <v>0</v>
      </c>
      <c r="F46" s="263"/>
      <c r="G46" s="263">
        <v>0</v>
      </c>
      <c r="H46" s="263">
        <v>0</v>
      </c>
      <c r="I46" s="263">
        <v>0</v>
      </c>
      <c r="J46" s="263">
        <v>0</v>
      </c>
      <c r="K46" s="263">
        <v>0</v>
      </c>
      <c r="L46" s="263">
        <v>0</v>
      </c>
      <c r="M46" s="263">
        <v>0</v>
      </c>
      <c r="N46" s="263">
        <v>0</v>
      </c>
      <c r="O46" s="263">
        <v>0</v>
      </c>
      <c r="P46" s="227">
        <f t="shared" si="15"/>
        <v>0</v>
      </c>
      <c r="Q46" s="307">
        <v>100000</v>
      </c>
      <c r="R46" s="282">
        <f t="shared" si="14"/>
        <v>100000</v>
      </c>
    </row>
    <row r="47" spans="1:19" ht="15.75" x14ac:dyDescent="0.25">
      <c r="A47" s="262" t="s">
        <v>174</v>
      </c>
      <c r="B47" s="219">
        <v>200000</v>
      </c>
      <c r="C47" s="223">
        <f t="shared" si="13"/>
        <v>16666.666666666668</v>
      </c>
      <c r="D47" s="263"/>
      <c r="E47" s="263">
        <v>0</v>
      </c>
      <c r="F47" s="263">
        <v>0</v>
      </c>
      <c r="G47" s="263">
        <v>0</v>
      </c>
      <c r="H47" s="263">
        <v>0</v>
      </c>
      <c r="I47" s="263">
        <v>0</v>
      </c>
      <c r="J47" s="263"/>
      <c r="K47" s="263">
        <v>0</v>
      </c>
      <c r="L47" s="263">
        <v>0</v>
      </c>
      <c r="M47" s="263">
        <v>0</v>
      </c>
      <c r="N47" s="263">
        <v>0</v>
      </c>
      <c r="O47" s="263">
        <v>0</v>
      </c>
      <c r="P47" s="227">
        <f t="shared" si="15"/>
        <v>0</v>
      </c>
      <c r="Q47" s="307">
        <v>200000</v>
      </c>
      <c r="R47" s="282">
        <f t="shared" si="14"/>
        <v>200000</v>
      </c>
    </row>
    <row r="48" spans="1:19" ht="16.5" thickBot="1" x14ac:dyDescent="0.3">
      <c r="A48" s="262"/>
      <c r="B48" s="219"/>
      <c r="C48" s="223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2"/>
      <c r="Q48" s="309"/>
      <c r="R48" s="288"/>
    </row>
    <row r="49" spans="1:19" ht="31.5" x14ac:dyDescent="0.25">
      <c r="A49" s="285" t="s">
        <v>65</v>
      </c>
      <c r="B49" s="280">
        <f t="shared" ref="B49:P49" si="16">SUM(B41:B48)</f>
        <v>10410000</v>
      </c>
      <c r="C49" s="280">
        <f t="shared" si="16"/>
        <v>867500</v>
      </c>
      <c r="D49" s="280">
        <f t="shared" si="16"/>
        <v>2352900</v>
      </c>
      <c r="E49" s="280">
        <f t="shared" si="16"/>
        <v>0</v>
      </c>
      <c r="F49" s="280">
        <f t="shared" si="16"/>
        <v>0</v>
      </c>
      <c r="G49" s="280">
        <f t="shared" si="16"/>
        <v>0</v>
      </c>
      <c r="H49" s="280">
        <f t="shared" si="16"/>
        <v>0</v>
      </c>
      <c r="I49" s="280">
        <f t="shared" si="16"/>
        <v>0</v>
      </c>
      <c r="J49" s="280">
        <f t="shared" si="16"/>
        <v>0</v>
      </c>
      <c r="K49" s="280">
        <f t="shared" si="16"/>
        <v>0</v>
      </c>
      <c r="L49" s="280">
        <f t="shared" si="16"/>
        <v>0</v>
      </c>
      <c r="M49" s="280">
        <f t="shared" si="16"/>
        <v>0</v>
      </c>
      <c r="N49" s="280">
        <f t="shared" si="16"/>
        <v>0</v>
      </c>
      <c r="O49" s="280">
        <f t="shared" si="16"/>
        <v>0</v>
      </c>
      <c r="P49" s="280">
        <f t="shared" si="16"/>
        <v>2352900</v>
      </c>
      <c r="Q49" s="280">
        <f>SUM(Q41:Q48)</f>
        <v>10410000</v>
      </c>
      <c r="R49" s="280">
        <f>SUM(R41:R48)</f>
        <v>8057100</v>
      </c>
      <c r="S49" s="268"/>
    </row>
    <row r="50" spans="1:19" ht="15.75" x14ac:dyDescent="0.25">
      <c r="A50" s="281"/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68"/>
    </row>
    <row r="51" spans="1:19" ht="15.75" x14ac:dyDescent="0.25">
      <c r="A51" s="283" t="s">
        <v>48</v>
      </c>
      <c r="B51" s="219">
        <f t="shared" ref="B51:P51" si="17">B39+B49</f>
        <v>58931099</v>
      </c>
      <c r="C51" s="223">
        <f t="shared" si="17"/>
        <v>4910924.916666666</v>
      </c>
      <c r="D51" s="219">
        <f t="shared" si="17"/>
        <v>5170025</v>
      </c>
      <c r="E51" s="219">
        <f>E39+E49</f>
        <v>3572964.86</v>
      </c>
      <c r="F51" s="219">
        <f t="shared" si="17"/>
        <v>0</v>
      </c>
      <c r="G51" s="219">
        <f>G39+G49</f>
        <v>0</v>
      </c>
      <c r="H51" s="219">
        <f t="shared" si="17"/>
        <v>0</v>
      </c>
      <c r="I51" s="219">
        <f t="shared" si="17"/>
        <v>0</v>
      </c>
      <c r="J51" s="219">
        <f t="shared" si="17"/>
        <v>0</v>
      </c>
      <c r="K51" s="219">
        <f t="shared" si="17"/>
        <v>0</v>
      </c>
      <c r="L51" s="219">
        <f>L39+L49</f>
        <v>0</v>
      </c>
      <c r="M51" s="219">
        <f>M39+M49</f>
        <v>0</v>
      </c>
      <c r="N51" s="219">
        <f>N39+N49</f>
        <v>0</v>
      </c>
      <c r="O51" s="219">
        <f t="shared" si="17"/>
        <v>0</v>
      </c>
      <c r="P51" s="219">
        <f t="shared" si="17"/>
        <v>8742989.8600000013</v>
      </c>
      <c r="Q51" s="219">
        <f>L36+Q39+Q49</f>
        <v>58931099</v>
      </c>
      <c r="R51" s="264">
        <f>R39+R49</f>
        <v>50348109.139999993</v>
      </c>
    </row>
    <row r="52" spans="1:19" ht="15.75" x14ac:dyDescent="0.25">
      <c r="A52" s="208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75"/>
      <c r="R52" s="209"/>
    </row>
    <row r="53" spans="1:19" s="279" customFormat="1" ht="24.75" customHeight="1" x14ac:dyDescent="0.25">
      <c r="A53" s="276" t="s">
        <v>114</v>
      </c>
      <c r="B53" s="277"/>
      <c r="C53" s="277"/>
      <c r="D53" s="278">
        <v>748002</v>
      </c>
      <c r="E53" s="278">
        <v>1630871.1</v>
      </c>
      <c r="F53" s="278"/>
      <c r="G53" s="278"/>
      <c r="H53" s="278"/>
      <c r="I53" s="278"/>
      <c r="J53" s="278"/>
      <c r="K53" s="278"/>
      <c r="L53" s="278"/>
      <c r="M53" s="278"/>
      <c r="N53" s="278"/>
      <c r="O53" s="346"/>
      <c r="P53" s="205">
        <v>0</v>
      </c>
      <c r="Q53" s="205">
        <v>0</v>
      </c>
      <c r="R53" s="205">
        <v>0</v>
      </c>
    </row>
    <row r="54" spans="1:19" s="206" customFormat="1" ht="15.75" x14ac:dyDescent="0.25">
      <c r="A54" s="348"/>
      <c r="B54" s="364" t="s">
        <v>154</v>
      </c>
      <c r="C54" s="364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47"/>
      <c r="Q54" s="347"/>
      <c r="R54" s="347"/>
      <c r="S54" s="349"/>
    </row>
    <row r="55" spans="1:19" s="430" customFormat="1" ht="15.75" x14ac:dyDescent="0.25">
      <c r="A55" s="426"/>
      <c r="B55" s="427"/>
      <c r="C55" s="427"/>
      <c r="D55" s="428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9"/>
      <c r="Q55" s="429"/>
      <c r="R55" s="429"/>
    </row>
    <row r="56" spans="1:19" s="435" customFormat="1" ht="15.75" x14ac:dyDescent="0.25">
      <c r="A56" s="431"/>
      <c r="B56" s="432" t="s">
        <v>126</v>
      </c>
      <c r="C56" s="433" t="s">
        <v>127</v>
      </c>
      <c r="D56" s="434">
        <v>74906</v>
      </c>
      <c r="E56" s="434">
        <v>30800</v>
      </c>
      <c r="F56" s="434"/>
      <c r="G56" s="434"/>
      <c r="H56" s="434"/>
      <c r="I56" s="434"/>
      <c r="J56" s="434"/>
      <c r="K56" s="434"/>
      <c r="L56" s="434"/>
      <c r="M56" s="434"/>
      <c r="N56" s="434"/>
      <c r="O56" s="434"/>
      <c r="P56" s="429">
        <v>0</v>
      </c>
      <c r="Q56" s="429">
        <v>0</v>
      </c>
      <c r="R56" s="429">
        <v>0</v>
      </c>
    </row>
    <row r="57" spans="1:19" s="435" customFormat="1" ht="15.75" x14ac:dyDescent="0.25">
      <c r="A57" s="431"/>
      <c r="B57" s="432"/>
      <c r="C57" s="433" t="s">
        <v>128</v>
      </c>
      <c r="D57" s="434">
        <v>46900</v>
      </c>
      <c r="E57" s="434">
        <v>40100</v>
      </c>
      <c r="F57" s="434"/>
      <c r="G57" s="434"/>
      <c r="H57" s="434"/>
      <c r="I57" s="434"/>
      <c r="J57" s="434"/>
      <c r="K57" s="434"/>
      <c r="L57" s="434"/>
      <c r="M57" s="434"/>
      <c r="N57" s="434"/>
      <c r="O57" s="434"/>
      <c r="P57" s="429">
        <v>0</v>
      </c>
      <c r="Q57" s="429">
        <v>0</v>
      </c>
      <c r="R57" s="429">
        <v>0</v>
      </c>
    </row>
    <row r="58" spans="1:19" s="440" customFormat="1" ht="15.75" x14ac:dyDescent="0.25">
      <c r="A58" s="436"/>
      <c r="B58" s="437"/>
      <c r="C58" s="438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38"/>
      <c r="Q58" s="438"/>
      <c r="R58" s="438"/>
    </row>
    <row r="59" spans="1:19" s="440" customFormat="1" ht="15.75" x14ac:dyDescent="0.25">
      <c r="A59" s="436"/>
      <c r="B59" s="441" t="s">
        <v>155</v>
      </c>
      <c r="C59" s="442" t="s">
        <v>127</v>
      </c>
      <c r="D59" s="442"/>
      <c r="E59" s="442">
        <v>113420</v>
      </c>
      <c r="F59" s="442">
        <v>0</v>
      </c>
      <c r="G59" s="442"/>
      <c r="H59" s="442"/>
      <c r="I59" s="442"/>
      <c r="J59" s="442"/>
      <c r="K59" s="442"/>
      <c r="L59" s="442"/>
      <c r="M59" s="442"/>
      <c r="N59" s="442"/>
      <c r="O59" s="442"/>
      <c r="P59" s="438">
        <v>0</v>
      </c>
      <c r="Q59" s="438">
        <v>0</v>
      </c>
      <c r="R59" s="438">
        <v>0</v>
      </c>
    </row>
    <row r="60" spans="1:19" s="440" customFormat="1" ht="15.75" x14ac:dyDescent="0.25">
      <c r="A60" s="436"/>
      <c r="B60" s="441"/>
      <c r="C60" s="442" t="s">
        <v>128</v>
      </c>
      <c r="D60" s="442">
        <v>9870</v>
      </c>
      <c r="E60" s="442">
        <v>29170</v>
      </c>
      <c r="F60" s="442"/>
      <c r="G60" s="442"/>
      <c r="H60" s="442"/>
      <c r="I60" s="442"/>
      <c r="J60" s="442">
        <v>0</v>
      </c>
      <c r="K60" s="442"/>
      <c r="L60" s="442"/>
      <c r="M60" s="442"/>
      <c r="N60" s="442"/>
      <c r="O60" s="442"/>
      <c r="P60" s="438">
        <v>0</v>
      </c>
      <c r="Q60" s="438">
        <v>0</v>
      </c>
      <c r="R60" s="438">
        <v>0</v>
      </c>
    </row>
    <row r="61" spans="1:19" s="435" customFormat="1" ht="15.75" x14ac:dyDescent="0.25">
      <c r="A61" s="431"/>
      <c r="B61" s="429"/>
      <c r="C61" s="429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29"/>
      <c r="Q61" s="429"/>
      <c r="R61" s="429"/>
    </row>
    <row r="62" spans="1:19" s="435" customFormat="1" ht="15.75" x14ac:dyDescent="0.25">
      <c r="A62" s="431"/>
      <c r="B62" s="444" t="s">
        <v>129</v>
      </c>
      <c r="C62" s="445" t="s">
        <v>127</v>
      </c>
      <c r="D62" s="446">
        <v>-8168.27</v>
      </c>
      <c r="E62" s="446">
        <v>8168.27</v>
      </c>
      <c r="F62" s="446">
        <v>0</v>
      </c>
      <c r="G62" s="446"/>
      <c r="H62" s="446"/>
      <c r="I62" s="446"/>
      <c r="J62" s="446"/>
      <c r="K62" s="446"/>
      <c r="L62" s="446"/>
      <c r="M62" s="446"/>
      <c r="N62" s="446"/>
      <c r="O62" s="446"/>
      <c r="P62" s="429">
        <v>0</v>
      </c>
      <c r="Q62" s="429">
        <v>0</v>
      </c>
      <c r="R62" s="429">
        <v>0</v>
      </c>
    </row>
    <row r="63" spans="1:19" s="435" customFormat="1" ht="15.75" x14ac:dyDescent="0.25">
      <c r="A63" s="431"/>
      <c r="B63" s="444"/>
      <c r="C63" s="445" t="s">
        <v>128</v>
      </c>
      <c r="D63" s="446">
        <v>-8168.27</v>
      </c>
      <c r="E63" s="446">
        <v>0</v>
      </c>
      <c r="F63" s="446"/>
      <c r="G63" s="446"/>
      <c r="H63" s="446"/>
      <c r="I63" s="446">
        <v>0</v>
      </c>
      <c r="J63" s="446"/>
      <c r="K63" s="446"/>
      <c r="L63" s="446"/>
      <c r="M63" s="446"/>
      <c r="N63" s="446"/>
      <c r="O63" s="446"/>
      <c r="P63" s="429">
        <v>0</v>
      </c>
      <c r="Q63" s="429">
        <v>0</v>
      </c>
      <c r="R63" s="429">
        <v>0</v>
      </c>
    </row>
    <row r="64" spans="1:19" s="435" customFormat="1" ht="15.75" x14ac:dyDescent="0.25">
      <c r="A64" s="431"/>
      <c r="B64" s="429"/>
      <c r="C64" s="429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29"/>
      <c r="Q64" s="429"/>
      <c r="R64" s="429"/>
    </row>
    <row r="65" spans="1:19" s="435" customFormat="1" ht="15.75" x14ac:dyDescent="0.25">
      <c r="A65" s="431"/>
      <c r="B65" s="447" t="s">
        <v>130</v>
      </c>
      <c r="C65" s="448" t="s">
        <v>131</v>
      </c>
      <c r="D65" s="449">
        <v>3404987</v>
      </c>
      <c r="E65" s="449">
        <v>4455833.6500000004</v>
      </c>
      <c r="F65" s="449"/>
      <c r="G65" s="449"/>
      <c r="H65" s="449"/>
      <c r="I65" s="449"/>
      <c r="J65" s="449"/>
      <c r="K65" s="449"/>
      <c r="L65" s="449"/>
      <c r="M65" s="449"/>
      <c r="N65" s="449"/>
      <c r="O65" s="449"/>
      <c r="P65" s="429"/>
      <c r="Q65" s="429"/>
      <c r="R65" s="429"/>
    </row>
    <row r="66" spans="1:19" s="435" customFormat="1" ht="15.75" x14ac:dyDescent="0.25">
      <c r="A66" s="431"/>
      <c r="B66" s="447"/>
      <c r="C66" s="448" t="s">
        <v>132</v>
      </c>
      <c r="D66" s="449">
        <v>5170025</v>
      </c>
      <c r="E66" s="449">
        <v>3572964.86</v>
      </c>
      <c r="F66" s="449"/>
      <c r="G66" s="449"/>
      <c r="H66" s="449"/>
      <c r="I66" s="449"/>
      <c r="J66" s="449"/>
      <c r="K66" s="449"/>
      <c r="L66" s="449"/>
      <c r="M66" s="449"/>
      <c r="N66" s="449"/>
      <c r="O66" s="449"/>
      <c r="P66" s="429"/>
      <c r="Q66" s="429"/>
      <c r="R66" s="429"/>
    </row>
    <row r="67" spans="1:19" s="435" customFormat="1" ht="15.75" x14ac:dyDescent="0.25">
      <c r="A67" s="431"/>
      <c r="B67" s="429"/>
      <c r="C67" s="429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29"/>
      <c r="Q67" s="429"/>
      <c r="R67" s="429"/>
    </row>
    <row r="68" spans="1:19" s="435" customFormat="1" ht="15.75" x14ac:dyDescent="0.25">
      <c r="A68" s="431"/>
      <c r="B68" s="450" t="s">
        <v>147</v>
      </c>
      <c r="C68" s="450"/>
      <c r="D68" s="449">
        <v>0</v>
      </c>
      <c r="E68" s="449"/>
      <c r="F68" s="449"/>
      <c r="G68" s="449"/>
      <c r="H68" s="449"/>
      <c r="I68" s="449"/>
      <c r="J68" s="449"/>
      <c r="K68" s="449"/>
      <c r="L68" s="449"/>
      <c r="M68" s="449"/>
      <c r="N68" s="449"/>
      <c r="O68" s="449"/>
      <c r="P68" s="429"/>
      <c r="Q68" s="429"/>
      <c r="R68" s="429"/>
    </row>
    <row r="69" spans="1:19" s="435" customFormat="1" ht="15.75" x14ac:dyDescent="0.25">
      <c r="A69" s="431"/>
      <c r="B69" s="451" t="s">
        <v>141</v>
      </c>
      <c r="C69" s="452" t="s">
        <v>131</v>
      </c>
      <c r="D69" s="443">
        <f>D65-D16</f>
        <v>0</v>
      </c>
      <c r="E69" s="443">
        <f>E65-E16-E68-E59+E60</f>
        <v>9.3132257461547852E-10</v>
      </c>
      <c r="F69" s="443">
        <f>F65-F16-F68+F54</f>
        <v>0</v>
      </c>
      <c r="G69" s="443"/>
      <c r="H69" s="443"/>
      <c r="I69" s="443"/>
      <c r="J69" s="443"/>
      <c r="K69" s="443"/>
      <c r="L69" s="443"/>
      <c r="M69" s="443"/>
      <c r="N69" s="443"/>
      <c r="O69" s="443"/>
      <c r="P69" s="429"/>
      <c r="Q69" s="429"/>
      <c r="R69" s="429"/>
    </row>
    <row r="70" spans="1:19" s="443" customFormat="1" ht="15.75" x14ac:dyDescent="0.25">
      <c r="B70" s="451"/>
      <c r="C70" s="452" t="s">
        <v>132</v>
      </c>
      <c r="D70" s="443">
        <f>D66-D51+D63-D62-D12</f>
        <v>-349</v>
      </c>
      <c r="E70" s="443">
        <f>E66-E51+E63-E62-E12-E54-E68</f>
        <v>-8168.27</v>
      </c>
      <c r="F70" s="443">
        <f>F66-F51+F63-F62-F12-F68</f>
        <v>0</v>
      </c>
      <c r="G70" s="443">
        <f t="shared" ref="G70:N70" si="18">G66-G51+G63-G62-G12</f>
        <v>0</v>
      </c>
      <c r="H70" s="443">
        <f t="shared" si="18"/>
        <v>0</v>
      </c>
      <c r="I70" s="443">
        <f t="shared" si="18"/>
        <v>0</v>
      </c>
      <c r="J70" s="443">
        <f t="shared" si="18"/>
        <v>0</v>
      </c>
      <c r="K70" s="443">
        <f t="shared" si="18"/>
        <v>0</v>
      </c>
      <c r="L70" s="443">
        <f>L66-L51+L63-L62-L12</f>
        <v>0</v>
      </c>
      <c r="M70" s="443">
        <f>M66-M51+M63-M62-M12</f>
        <v>0</v>
      </c>
      <c r="N70" s="443">
        <f t="shared" si="18"/>
        <v>0</v>
      </c>
      <c r="O70" s="443">
        <f>O66-O51+O63-O62-O12</f>
        <v>0</v>
      </c>
      <c r="P70" s="453"/>
    </row>
    <row r="71" spans="1:19" s="430" customFormat="1" x14ac:dyDescent="0.25">
      <c r="A71" s="454"/>
      <c r="B71" s="451"/>
      <c r="C71" s="455" t="s">
        <v>145</v>
      </c>
      <c r="D71" s="456">
        <f>B4+D16-D51-D53-D62+D63-D12</f>
        <v>-349</v>
      </c>
      <c r="E71" s="456">
        <f>D53+E16-E51-E53-E62+E63-E12-E54+E59-E60</f>
        <v>-8168.5800000005256</v>
      </c>
      <c r="F71" s="456">
        <f>E53+F16-F51-F53-F62+F63-F12+F68-F54</f>
        <v>1630871.1</v>
      </c>
      <c r="G71" s="456"/>
      <c r="H71" s="456"/>
      <c r="I71" s="456"/>
      <c r="J71" s="456"/>
      <c r="K71" s="456"/>
      <c r="L71" s="456"/>
      <c r="M71" s="456"/>
      <c r="N71" s="456"/>
      <c r="O71" s="456"/>
      <c r="P71" s="457"/>
      <c r="Q71" s="457"/>
      <c r="R71" s="457"/>
    </row>
    <row r="72" spans="1:19" s="430" customFormat="1" x14ac:dyDescent="0.25">
      <c r="A72" s="454"/>
      <c r="B72" s="457"/>
      <c r="C72" s="457"/>
      <c r="D72" s="456"/>
      <c r="E72" s="456"/>
      <c r="F72" s="456"/>
      <c r="G72" s="456"/>
      <c r="H72" s="456"/>
      <c r="I72" s="456"/>
      <c r="J72" s="456"/>
      <c r="K72" s="456"/>
      <c r="L72" s="458"/>
      <c r="M72" s="456"/>
      <c r="N72" s="456"/>
      <c r="O72" s="456"/>
      <c r="P72" s="457"/>
      <c r="Q72" s="457"/>
      <c r="R72" s="457"/>
    </row>
    <row r="73" spans="1:19" s="389" customFormat="1" x14ac:dyDescent="0.25">
      <c r="A73" s="386"/>
      <c r="B73" s="388"/>
      <c r="C73" s="388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8"/>
      <c r="Q73" s="388"/>
      <c r="R73" s="388"/>
    </row>
    <row r="74" spans="1:19" s="204" customFormat="1" x14ac:dyDescent="0.25">
      <c r="A74" s="274"/>
      <c r="B74" s="215"/>
      <c r="C74" s="215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197"/>
      <c r="Q74" s="197"/>
      <c r="R74" s="197"/>
      <c r="S74" s="202"/>
    </row>
    <row r="75" spans="1:19" s="204" customFormat="1" x14ac:dyDescent="0.25">
      <c r="A75" s="274"/>
      <c r="B75" s="215"/>
      <c r="C75" s="215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197"/>
      <c r="Q75" s="197"/>
      <c r="R75" s="197"/>
      <c r="S75" s="202"/>
    </row>
    <row r="76" spans="1:19" x14ac:dyDescent="0.25"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197"/>
      <c r="Q76" s="197"/>
      <c r="R76" s="197"/>
      <c r="S76" s="202"/>
    </row>
    <row r="78" spans="1:19" ht="15.75" customHeight="1" x14ac:dyDescent="0.25"/>
    <row r="79" spans="1:19" ht="15.75" customHeight="1" x14ac:dyDescent="0.25"/>
    <row r="80" spans="1:19" ht="15.75" customHeight="1" x14ac:dyDescent="0.25"/>
  </sheetData>
  <mergeCells count="6">
    <mergeCell ref="B65:B66"/>
    <mergeCell ref="B56:B57"/>
    <mergeCell ref="B62:B63"/>
    <mergeCell ref="B69:B71"/>
    <mergeCell ref="B68:C68"/>
    <mergeCell ref="B59:B60"/>
  </mergeCells>
  <phoneticPr fontId="28" type="noConversion"/>
  <pageMargins left="0.25" right="0.25" top="0.75" bottom="0.75" header="0.3" footer="0.3"/>
  <pageSetup paperSize="9" scale="47" firstPageNumber="42949672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>
      <selection activeCell="H22" sqref="H22"/>
    </sheetView>
  </sheetViews>
  <sheetFormatPr defaultRowHeight="15" x14ac:dyDescent="0.25"/>
  <cols>
    <col min="4" max="4" width="9.85546875" bestFit="1" customWidth="1"/>
    <col min="6" max="6" width="13.5703125" customWidth="1"/>
    <col min="7" max="7" width="11.5703125" customWidth="1"/>
    <col min="8" max="8" width="11.42578125" customWidth="1"/>
    <col min="10" max="10" width="8.85546875" customWidth="1"/>
    <col min="11" max="19" width="10.85546875" customWidth="1"/>
    <col min="20" max="20" width="12.5703125" customWidth="1"/>
    <col min="21" max="21" width="9.85546875" customWidth="1"/>
  </cols>
  <sheetData>
    <row r="1" spans="1:21" ht="15.75" x14ac:dyDescent="0.25">
      <c r="A1" s="97" t="s">
        <v>67</v>
      </c>
      <c r="B1" s="98"/>
      <c r="C1" s="98"/>
      <c r="D1" s="98"/>
      <c r="E1" s="98"/>
      <c r="F1" s="97"/>
      <c r="G1" s="99"/>
      <c r="H1" s="100" t="s">
        <v>68</v>
      </c>
      <c r="I1" s="100"/>
      <c r="J1" s="100"/>
      <c r="K1" s="100"/>
      <c r="L1" s="100"/>
      <c r="M1" s="100"/>
      <c r="N1" s="100"/>
      <c r="O1" s="99"/>
      <c r="P1" s="99"/>
      <c r="Q1" s="99"/>
      <c r="R1" s="99"/>
      <c r="S1" s="99"/>
      <c r="T1" s="99"/>
    </row>
    <row r="2" spans="1:21" x14ac:dyDescent="0.25">
      <c r="A2" s="101" t="s">
        <v>69</v>
      </c>
      <c r="B2" s="85"/>
      <c r="C2" s="85"/>
      <c r="D2" s="85"/>
      <c r="E2" s="85"/>
      <c r="F2" s="421" t="s">
        <v>70</v>
      </c>
      <c r="G2" s="102" t="s">
        <v>71</v>
      </c>
      <c r="H2" s="9" t="s">
        <v>72</v>
      </c>
      <c r="I2" s="9"/>
      <c r="J2" s="9"/>
      <c r="K2" s="9"/>
      <c r="L2" s="9"/>
      <c r="M2" s="9"/>
      <c r="N2" s="9"/>
      <c r="O2" s="9"/>
      <c r="P2" s="9"/>
      <c r="Q2" s="9"/>
      <c r="R2" s="11"/>
      <c r="S2" s="11"/>
      <c r="T2" s="102" t="s">
        <v>73</v>
      </c>
    </row>
    <row r="3" spans="1:21" x14ac:dyDescent="0.25">
      <c r="A3" s="12"/>
      <c r="B3" s="13"/>
      <c r="C3" s="13"/>
      <c r="D3" s="13"/>
      <c r="E3" s="13"/>
      <c r="F3" s="422"/>
      <c r="G3" s="103" t="s">
        <v>74</v>
      </c>
      <c r="H3" s="104" t="s">
        <v>4</v>
      </c>
      <c r="I3" s="14" t="s">
        <v>5</v>
      </c>
      <c r="J3" s="14" t="s">
        <v>6</v>
      </c>
      <c r="K3" s="14" t="s">
        <v>7</v>
      </c>
      <c r="L3" s="14" t="s">
        <v>8</v>
      </c>
      <c r="M3" s="14" t="s">
        <v>9</v>
      </c>
      <c r="N3" s="14" t="s">
        <v>14</v>
      </c>
      <c r="O3" s="14" t="s">
        <v>15</v>
      </c>
      <c r="P3" s="14" t="s">
        <v>16</v>
      </c>
      <c r="Q3" s="14" t="s">
        <v>17</v>
      </c>
      <c r="R3" s="105" t="s">
        <v>18</v>
      </c>
      <c r="S3" s="105" t="s">
        <v>19</v>
      </c>
      <c r="T3" s="103"/>
    </row>
    <row r="4" spans="1:21" x14ac:dyDescent="0.25">
      <c r="A4" s="70" t="s">
        <v>75</v>
      </c>
      <c r="B4" s="71"/>
      <c r="C4" s="71"/>
      <c r="D4" s="71"/>
      <c r="E4" s="71"/>
      <c r="F4" s="106">
        <v>25090303</v>
      </c>
      <c r="G4" s="106">
        <f>F4/12</f>
        <v>2090858.5833333333</v>
      </c>
      <c r="H4" s="107">
        <v>2150745</v>
      </c>
      <c r="I4" s="108"/>
      <c r="J4" s="108"/>
      <c r="K4" s="108"/>
      <c r="L4" s="108"/>
      <c r="M4" s="108"/>
      <c r="N4" s="108"/>
      <c r="O4" s="108"/>
      <c r="P4" s="108"/>
      <c r="Q4" s="108"/>
      <c r="R4" s="109"/>
      <c r="S4" s="109"/>
      <c r="T4" s="110">
        <f t="shared" ref="T4:T9" si="0">SUM(H4:S4)</f>
        <v>2150745</v>
      </c>
      <c r="U4" s="111"/>
    </row>
    <row r="5" spans="1:21" x14ac:dyDescent="0.25">
      <c r="A5" s="70" t="s">
        <v>76</v>
      </c>
      <c r="B5" s="71"/>
      <c r="C5" s="71"/>
      <c r="D5" s="71"/>
      <c r="E5" s="71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  <c r="S5" s="109"/>
      <c r="T5" s="110">
        <f t="shared" si="0"/>
        <v>0</v>
      </c>
    </row>
    <row r="6" spans="1:21" x14ac:dyDescent="0.25">
      <c r="A6" s="70" t="s">
        <v>77</v>
      </c>
      <c r="B6" s="71"/>
      <c r="C6" s="71"/>
      <c r="D6" s="71"/>
      <c r="E6" s="71"/>
      <c r="F6" s="112"/>
      <c r="G6" s="112"/>
      <c r="H6" s="107">
        <v>36280</v>
      </c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09"/>
      <c r="T6" s="110">
        <f t="shared" si="0"/>
        <v>36280</v>
      </c>
    </row>
    <row r="7" spans="1:21" x14ac:dyDescent="0.25">
      <c r="A7" s="70" t="s">
        <v>78</v>
      </c>
      <c r="B7" s="71"/>
      <c r="C7" s="71"/>
      <c r="D7" s="71"/>
      <c r="E7" s="71"/>
      <c r="F7" s="112"/>
      <c r="G7" s="112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  <c r="S7" s="109"/>
      <c r="T7" s="110">
        <f t="shared" si="0"/>
        <v>0</v>
      </c>
      <c r="U7" s="85"/>
    </row>
    <row r="8" spans="1:21" x14ac:dyDescent="0.25">
      <c r="A8" s="70" t="s">
        <v>79</v>
      </c>
      <c r="B8" s="71"/>
      <c r="C8" s="71"/>
      <c r="D8" s="71"/>
      <c r="E8" s="71"/>
      <c r="F8" s="112"/>
      <c r="G8" s="112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9"/>
      <c r="S8" s="109"/>
      <c r="T8" s="114">
        <f t="shared" si="0"/>
        <v>0</v>
      </c>
    </row>
    <row r="9" spans="1:21" x14ac:dyDescent="0.25">
      <c r="A9" s="112" t="s">
        <v>80</v>
      </c>
      <c r="B9" s="70"/>
      <c r="C9" s="71"/>
      <c r="D9" s="71"/>
      <c r="E9" s="71"/>
      <c r="F9" s="112"/>
      <c r="G9" s="112"/>
      <c r="H9" s="107">
        <f>15000+99836+10860</f>
        <v>125696</v>
      </c>
      <c r="I9" s="108"/>
      <c r="J9" s="112"/>
      <c r="K9" s="112"/>
      <c r="L9" s="112"/>
      <c r="M9" s="112"/>
      <c r="N9" s="112"/>
      <c r="O9" s="112"/>
      <c r="P9" s="108"/>
      <c r="Q9" s="112"/>
      <c r="R9" s="113"/>
      <c r="S9" s="113"/>
      <c r="T9" s="114">
        <f t="shared" si="0"/>
        <v>125696</v>
      </c>
    </row>
    <row r="10" spans="1:21" ht="15.75" x14ac:dyDescent="0.25">
      <c r="A10" s="115"/>
      <c r="B10" s="64" t="s">
        <v>81</v>
      </c>
      <c r="C10" s="64"/>
      <c r="D10" s="64"/>
      <c r="E10" s="64"/>
      <c r="F10" s="116">
        <f>SUM(F4:F9)</f>
        <v>25090303</v>
      </c>
      <c r="G10" s="116">
        <f>SUM(G4:G9)</f>
        <v>2090858.5833333333</v>
      </c>
      <c r="H10" s="117">
        <f>SUM(H4:H9)</f>
        <v>2312721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9"/>
      <c r="S10" s="109"/>
      <c r="T10" s="110">
        <f>SUM(T4:T9)</f>
        <v>2312721</v>
      </c>
    </row>
    <row r="11" spans="1:21" x14ac:dyDescent="0.25">
      <c r="A11" s="71"/>
      <c r="B11" s="71"/>
      <c r="C11" s="71"/>
      <c r="D11" s="71"/>
      <c r="E11" s="71"/>
      <c r="F11" s="98" t="s">
        <v>82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118"/>
      <c r="S11" s="118"/>
      <c r="T11" s="98"/>
      <c r="U11" s="119" t="s">
        <v>83</v>
      </c>
    </row>
    <row r="12" spans="1:21" x14ac:dyDescent="0.25">
      <c r="A12" s="70" t="s">
        <v>28</v>
      </c>
      <c r="B12" s="71"/>
      <c r="C12" s="71"/>
      <c r="D12" s="71"/>
      <c r="E12" s="71"/>
      <c r="F12" s="120">
        <v>900000</v>
      </c>
      <c r="G12" s="120">
        <f t="shared" ref="G12:G32" si="1">F12/12</f>
        <v>75000</v>
      </c>
      <c r="H12" s="121">
        <v>63332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09"/>
      <c r="T12" s="122">
        <f t="shared" ref="T12:T32" si="2">SUM(H12:S12)</f>
        <v>63332</v>
      </c>
      <c r="U12" s="123">
        <f t="shared" ref="U12:U32" si="3">G12*12-T12</f>
        <v>836668</v>
      </c>
    </row>
    <row r="13" spans="1:21" x14ac:dyDescent="0.25">
      <c r="A13" s="12" t="s">
        <v>29</v>
      </c>
      <c r="B13" s="13"/>
      <c r="C13" s="13"/>
      <c r="D13" s="13"/>
      <c r="E13" s="13"/>
      <c r="F13" s="124">
        <v>160000</v>
      </c>
      <c r="G13" s="120">
        <f t="shared" si="1"/>
        <v>13333.333333333334</v>
      </c>
      <c r="H13" s="125">
        <v>11634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7"/>
      <c r="S13" s="127"/>
      <c r="T13" s="110">
        <f t="shared" si="2"/>
        <v>11634</v>
      </c>
      <c r="U13" s="128">
        <f t="shared" si="3"/>
        <v>148366</v>
      </c>
    </row>
    <row r="14" spans="1:21" x14ac:dyDescent="0.25">
      <c r="A14" s="70" t="s">
        <v>30</v>
      </c>
      <c r="B14" s="71"/>
      <c r="C14" s="71"/>
      <c r="D14" s="71"/>
      <c r="E14" s="76"/>
      <c r="F14" s="120">
        <v>140000</v>
      </c>
      <c r="G14" s="120">
        <f t="shared" si="1"/>
        <v>11666.666666666666</v>
      </c>
      <c r="H14" s="121">
        <v>6336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9"/>
      <c r="S14" s="109"/>
      <c r="T14" s="110">
        <f t="shared" si="2"/>
        <v>6336</v>
      </c>
      <c r="U14" s="123">
        <f t="shared" si="3"/>
        <v>133664</v>
      </c>
    </row>
    <row r="15" spans="1:21" x14ac:dyDescent="0.25">
      <c r="A15" s="12" t="s">
        <v>31</v>
      </c>
      <c r="B15" s="13"/>
      <c r="C15" s="13"/>
      <c r="D15" s="13"/>
      <c r="E15" s="77"/>
      <c r="F15" s="124">
        <v>300000</v>
      </c>
      <c r="G15" s="120">
        <f t="shared" si="1"/>
        <v>25000</v>
      </c>
      <c r="H15" s="125">
        <v>70000</v>
      </c>
      <c r="I15" s="126"/>
      <c r="J15" s="126"/>
      <c r="K15" s="126"/>
      <c r="L15" s="126"/>
      <c r="M15" s="126"/>
      <c r="N15" s="126"/>
      <c r="O15" s="126"/>
      <c r="P15" s="126"/>
      <c r="Q15" s="126"/>
      <c r="R15" s="127"/>
      <c r="S15" s="127"/>
      <c r="T15" s="110">
        <f t="shared" si="2"/>
        <v>70000</v>
      </c>
      <c r="U15" s="128">
        <f t="shared" si="3"/>
        <v>230000</v>
      </c>
    </row>
    <row r="16" spans="1:21" x14ac:dyDescent="0.25">
      <c r="A16" s="12" t="s">
        <v>32</v>
      </c>
      <c r="B16" s="13"/>
      <c r="C16" s="13"/>
      <c r="D16" s="13"/>
      <c r="E16" s="77"/>
      <c r="F16" s="124">
        <v>7890000</v>
      </c>
      <c r="G16" s="120">
        <f t="shared" si="1"/>
        <v>657500</v>
      </c>
      <c r="H16" s="125">
        <v>729871</v>
      </c>
      <c r="I16" s="126"/>
      <c r="J16" s="126"/>
      <c r="K16" s="126"/>
      <c r="L16" s="126"/>
      <c r="M16" s="126"/>
      <c r="N16" s="126"/>
      <c r="O16" s="126"/>
      <c r="P16" s="126"/>
      <c r="Q16" s="126"/>
      <c r="R16" s="127"/>
      <c r="S16" s="127"/>
      <c r="T16" s="110">
        <f t="shared" si="2"/>
        <v>729871</v>
      </c>
      <c r="U16" s="123">
        <f t="shared" si="3"/>
        <v>7160129</v>
      </c>
    </row>
    <row r="17" spans="1:23" x14ac:dyDescent="0.25">
      <c r="A17" s="12" t="s">
        <v>33</v>
      </c>
      <c r="B17" s="13"/>
      <c r="C17" s="13"/>
      <c r="D17" s="13"/>
      <c r="E17" s="13"/>
      <c r="F17" s="124">
        <v>500000</v>
      </c>
      <c r="G17" s="120">
        <f t="shared" si="1"/>
        <v>41666.666666666664</v>
      </c>
      <c r="H17" s="125">
        <v>9200</v>
      </c>
      <c r="I17" s="126"/>
      <c r="J17" s="126"/>
      <c r="K17" s="126"/>
      <c r="L17" s="126"/>
      <c r="M17" s="126"/>
      <c r="N17" s="126"/>
      <c r="O17" s="126"/>
      <c r="P17" s="126"/>
      <c r="Q17" s="126"/>
      <c r="R17" s="127"/>
      <c r="S17" s="127"/>
      <c r="T17" s="110">
        <f t="shared" si="2"/>
        <v>9200</v>
      </c>
      <c r="U17" s="128">
        <f t="shared" si="3"/>
        <v>490800</v>
      </c>
    </row>
    <row r="18" spans="1:23" x14ac:dyDescent="0.25">
      <c r="A18" s="12" t="s">
        <v>34</v>
      </c>
      <c r="B18" s="13"/>
      <c r="C18" s="13"/>
      <c r="D18" s="13"/>
      <c r="E18" s="13"/>
      <c r="F18" s="124">
        <v>2517000</v>
      </c>
      <c r="G18" s="120">
        <f t="shared" si="1"/>
        <v>209750</v>
      </c>
      <c r="H18" s="125">
        <v>215933</v>
      </c>
      <c r="I18" s="126"/>
      <c r="J18" s="126"/>
      <c r="K18" s="126"/>
      <c r="L18" s="126"/>
      <c r="M18" s="126"/>
      <c r="N18" s="126"/>
      <c r="O18" s="126"/>
      <c r="P18" s="126"/>
      <c r="Q18" s="126"/>
      <c r="R18" s="127"/>
      <c r="S18" s="127"/>
      <c r="T18" s="110">
        <f t="shared" si="2"/>
        <v>215933</v>
      </c>
      <c r="U18" s="123">
        <f t="shared" si="3"/>
        <v>2301067</v>
      </c>
    </row>
    <row r="19" spans="1:23" x14ac:dyDescent="0.25">
      <c r="A19" s="12" t="s">
        <v>84</v>
      </c>
      <c r="B19" s="13"/>
      <c r="C19" s="13"/>
      <c r="D19" s="13"/>
      <c r="E19" s="13"/>
      <c r="F19" s="124">
        <v>200000</v>
      </c>
      <c r="G19" s="120">
        <f t="shared" si="1"/>
        <v>16666.666666666668</v>
      </c>
      <c r="H19" s="125">
        <v>0</v>
      </c>
      <c r="I19" s="126"/>
      <c r="J19" s="126"/>
      <c r="K19" s="126"/>
      <c r="L19" s="126"/>
      <c r="M19" s="126"/>
      <c r="N19" s="126"/>
      <c r="O19" s="126"/>
      <c r="P19" s="126"/>
      <c r="Q19" s="126"/>
      <c r="R19" s="127"/>
      <c r="S19" s="127"/>
      <c r="T19" s="122">
        <f t="shared" si="2"/>
        <v>0</v>
      </c>
      <c r="U19" s="128">
        <f t="shared" si="3"/>
        <v>200000</v>
      </c>
    </row>
    <row r="20" spans="1:23" x14ac:dyDescent="0.25">
      <c r="A20" s="70" t="s">
        <v>36</v>
      </c>
      <c r="B20" s="71"/>
      <c r="C20" s="71"/>
      <c r="D20" s="71"/>
      <c r="E20" s="71"/>
      <c r="F20" s="120">
        <v>1950000</v>
      </c>
      <c r="G20" s="120">
        <f t="shared" si="1"/>
        <v>162500</v>
      </c>
      <c r="H20" s="129">
        <v>179000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9"/>
      <c r="S20" s="109"/>
      <c r="T20" s="110">
        <f t="shared" si="2"/>
        <v>179000</v>
      </c>
      <c r="U20" s="123">
        <f t="shared" si="3"/>
        <v>1771000</v>
      </c>
    </row>
    <row r="21" spans="1:23" x14ac:dyDescent="0.25">
      <c r="A21" s="70" t="s">
        <v>37</v>
      </c>
      <c r="B21" s="71"/>
      <c r="C21" s="71"/>
      <c r="D21" s="71"/>
      <c r="E21" s="76"/>
      <c r="F21" s="120">
        <v>7400000</v>
      </c>
      <c r="G21" s="120">
        <f t="shared" si="1"/>
        <v>616666.66666666663</v>
      </c>
      <c r="H21" s="121">
        <v>566600</v>
      </c>
      <c r="I21" s="108"/>
      <c r="J21" s="108"/>
      <c r="K21" s="108"/>
      <c r="L21" s="108"/>
      <c r="M21" s="108"/>
      <c r="N21" s="108"/>
      <c r="O21" s="108"/>
      <c r="P21" s="108"/>
      <c r="Q21" s="108"/>
      <c r="R21" s="109"/>
      <c r="S21" s="109"/>
      <c r="T21" s="110">
        <f t="shared" si="2"/>
        <v>566600</v>
      </c>
      <c r="U21" s="128">
        <f t="shared" si="3"/>
        <v>6833400</v>
      </c>
    </row>
    <row r="22" spans="1:23" x14ac:dyDescent="0.25">
      <c r="A22" s="12" t="s">
        <v>38</v>
      </c>
      <c r="B22" s="13"/>
      <c r="C22" s="13"/>
      <c r="D22" s="13"/>
      <c r="E22" s="13"/>
      <c r="F22" s="124">
        <v>230000</v>
      </c>
      <c r="G22" s="120">
        <f t="shared" si="1"/>
        <v>19166.666666666668</v>
      </c>
      <c r="H22" s="125">
        <v>17252</v>
      </c>
      <c r="I22" s="126"/>
      <c r="J22" s="126"/>
      <c r="K22" s="126"/>
      <c r="L22" s="126"/>
      <c r="M22" s="126"/>
      <c r="N22" s="126"/>
      <c r="O22" s="126"/>
      <c r="P22" s="126"/>
      <c r="Q22" s="126"/>
      <c r="R22" s="127"/>
      <c r="S22" s="127"/>
      <c r="T22" s="110">
        <f t="shared" si="2"/>
        <v>17252</v>
      </c>
      <c r="U22" s="123">
        <f t="shared" si="3"/>
        <v>212748</v>
      </c>
    </row>
    <row r="23" spans="1:23" x14ac:dyDescent="0.25">
      <c r="A23" s="70" t="s">
        <v>39</v>
      </c>
      <c r="B23" s="71"/>
      <c r="C23" s="71"/>
      <c r="D23" s="71"/>
      <c r="E23" s="71"/>
      <c r="F23" s="120">
        <v>1240000</v>
      </c>
      <c r="G23" s="120">
        <f t="shared" si="1"/>
        <v>103333.33333333333</v>
      </c>
      <c r="H23" s="121">
        <v>128037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9"/>
      <c r="S23" s="109"/>
      <c r="T23" s="110">
        <f t="shared" si="2"/>
        <v>128037</v>
      </c>
      <c r="U23" s="128">
        <f t="shared" si="3"/>
        <v>1111963</v>
      </c>
    </row>
    <row r="24" spans="1:23" x14ac:dyDescent="0.25">
      <c r="A24" s="70" t="s">
        <v>85</v>
      </c>
      <c r="B24" s="71"/>
      <c r="C24" s="71"/>
      <c r="D24" s="71"/>
      <c r="E24" s="71"/>
      <c r="F24" s="120">
        <f>250000+480000</f>
        <v>730000</v>
      </c>
      <c r="G24" s="120">
        <f t="shared" si="1"/>
        <v>60833.333333333336</v>
      </c>
      <c r="H24" s="121">
        <v>72400</v>
      </c>
      <c r="I24" s="108"/>
      <c r="J24" s="108"/>
      <c r="K24" s="108"/>
      <c r="L24" s="108"/>
      <c r="M24" s="108"/>
      <c r="N24" s="108"/>
      <c r="O24" s="108"/>
      <c r="P24" s="108"/>
      <c r="Q24" s="108"/>
      <c r="R24" s="109"/>
      <c r="S24" s="109"/>
      <c r="T24" s="110">
        <f t="shared" si="2"/>
        <v>72400</v>
      </c>
      <c r="U24" s="123">
        <f t="shared" si="3"/>
        <v>657600</v>
      </c>
    </row>
    <row r="25" spans="1:23" x14ac:dyDescent="0.25">
      <c r="A25" s="70" t="s">
        <v>41</v>
      </c>
      <c r="B25" s="71"/>
      <c r="C25" s="71"/>
      <c r="D25" s="71"/>
      <c r="E25" s="71"/>
      <c r="F25" s="120">
        <v>250000</v>
      </c>
      <c r="G25" s="120">
        <f t="shared" si="1"/>
        <v>20833.333333333332</v>
      </c>
      <c r="H25" s="121">
        <v>1080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9"/>
      <c r="S25" s="109"/>
      <c r="T25" s="122">
        <f t="shared" si="2"/>
        <v>1080</v>
      </c>
      <c r="U25" s="128">
        <f t="shared" si="3"/>
        <v>248920</v>
      </c>
    </row>
    <row r="26" spans="1:23" x14ac:dyDescent="0.25">
      <c r="A26" s="70" t="s">
        <v>42</v>
      </c>
      <c r="B26" s="71"/>
      <c r="C26" s="71"/>
      <c r="D26" s="71"/>
      <c r="E26" s="71"/>
      <c r="F26" s="120">
        <v>1800000</v>
      </c>
      <c r="G26" s="120">
        <f t="shared" si="1"/>
        <v>150000</v>
      </c>
      <c r="H26" s="121">
        <v>98486</v>
      </c>
      <c r="I26" s="108"/>
      <c r="J26" s="108"/>
      <c r="K26" s="108"/>
      <c r="L26" s="108"/>
      <c r="M26" s="108"/>
      <c r="N26" s="108"/>
      <c r="O26" s="108"/>
      <c r="P26" s="108"/>
      <c r="Q26" s="108"/>
      <c r="R26" s="109"/>
      <c r="S26" s="109"/>
      <c r="T26" s="110">
        <f t="shared" si="2"/>
        <v>98486</v>
      </c>
      <c r="U26" s="123">
        <f t="shared" si="3"/>
        <v>1701514</v>
      </c>
    </row>
    <row r="27" spans="1:23" x14ac:dyDescent="0.25">
      <c r="A27" s="70" t="s">
        <v>43</v>
      </c>
      <c r="B27" s="71"/>
      <c r="C27" s="71"/>
      <c r="D27" s="71"/>
      <c r="E27" s="71"/>
      <c r="F27" s="120">
        <v>1700000</v>
      </c>
      <c r="G27" s="120">
        <f t="shared" si="1"/>
        <v>141666.66666666666</v>
      </c>
      <c r="H27" s="129">
        <v>0</v>
      </c>
      <c r="I27" s="108"/>
      <c r="J27" s="108"/>
      <c r="K27" s="112"/>
      <c r="L27" s="112"/>
      <c r="M27" s="112"/>
      <c r="N27" s="108"/>
      <c r="O27" s="108"/>
      <c r="P27" s="108"/>
      <c r="Q27" s="108"/>
      <c r="R27" s="109"/>
      <c r="S27" s="109"/>
      <c r="T27" s="122">
        <f t="shared" si="2"/>
        <v>0</v>
      </c>
      <c r="U27" s="128">
        <f t="shared" si="3"/>
        <v>1700000</v>
      </c>
    </row>
    <row r="28" spans="1:23" x14ac:dyDescent="0.25">
      <c r="A28" s="70" t="s">
        <v>86</v>
      </c>
      <c r="B28" s="71"/>
      <c r="C28" s="71"/>
      <c r="D28" s="71"/>
      <c r="E28" s="71"/>
      <c r="F28" s="120"/>
      <c r="G28" s="120">
        <f t="shared" si="1"/>
        <v>0</v>
      </c>
      <c r="H28" s="108">
        <v>0</v>
      </c>
      <c r="I28" s="108"/>
      <c r="J28" s="108"/>
      <c r="K28" s="112"/>
      <c r="L28" s="112"/>
      <c r="M28" s="112"/>
      <c r="N28" s="108"/>
      <c r="O28" s="108"/>
      <c r="P28" s="108"/>
      <c r="Q28" s="108"/>
      <c r="R28" s="109"/>
      <c r="S28" s="109"/>
      <c r="T28" s="122">
        <f t="shared" si="2"/>
        <v>0</v>
      </c>
      <c r="U28" s="123">
        <f t="shared" si="3"/>
        <v>0</v>
      </c>
    </row>
    <row r="29" spans="1:23" x14ac:dyDescent="0.25">
      <c r="A29" s="70" t="s">
        <v>87</v>
      </c>
      <c r="B29" s="71"/>
      <c r="C29" s="71"/>
      <c r="D29" s="71"/>
      <c r="E29" s="71"/>
      <c r="F29" s="120">
        <v>600000</v>
      </c>
      <c r="G29" s="120">
        <f t="shared" si="1"/>
        <v>50000</v>
      </c>
      <c r="H29" s="121">
        <v>22864</v>
      </c>
      <c r="I29" s="108"/>
      <c r="J29" s="108"/>
      <c r="K29" s="112"/>
      <c r="L29" s="112"/>
      <c r="M29" s="112"/>
      <c r="N29" s="108"/>
      <c r="O29" s="108"/>
      <c r="P29" s="108"/>
      <c r="Q29" s="108"/>
      <c r="R29" s="109"/>
      <c r="S29" s="109"/>
      <c r="T29" s="110">
        <f t="shared" si="2"/>
        <v>22864</v>
      </c>
      <c r="U29" s="128">
        <f t="shared" si="3"/>
        <v>577136</v>
      </c>
    </row>
    <row r="30" spans="1:23" x14ac:dyDescent="0.25">
      <c r="A30" s="70" t="s">
        <v>45</v>
      </c>
      <c r="B30" s="71"/>
      <c r="C30" s="71"/>
      <c r="D30" s="71"/>
      <c r="E30" s="71"/>
      <c r="F30" s="120">
        <v>250000</v>
      </c>
      <c r="G30" s="120">
        <f t="shared" si="1"/>
        <v>20833.333333333332</v>
      </c>
      <c r="H30" s="121">
        <v>11304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9"/>
      <c r="S30" s="109"/>
      <c r="T30" s="110">
        <f t="shared" si="2"/>
        <v>11304</v>
      </c>
      <c r="U30" s="123">
        <f t="shared" si="3"/>
        <v>238696</v>
      </c>
    </row>
    <row r="31" spans="1:23" x14ac:dyDescent="0.25">
      <c r="A31" s="70" t="s">
        <v>88</v>
      </c>
      <c r="B31" s="71"/>
      <c r="C31" s="71"/>
      <c r="D31" s="71"/>
      <c r="E31" s="71"/>
      <c r="F31" s="120">
        <v>719200</v>
      </c>
      <c r="G31" s="120">
        <f t="shared" si="1"/>
        <v>59933.333333333336</v>
      </c>
      <c r="H31" s="108">
        <v>0</v>
      </c>
      <c r="I31" s="108"/>
      <c r="J31" s="108"/>
      <c r="K31" s="108"/>
      <c r="L31" s="108"/>
      <c r="M31" s="108"/>
      <c r="N31" s="108"/>
      <c r="O31" s="108"/>
      <c r="P31" s="108"/>
      <c r="Q31" s="108"/>
      <c r="R31" s="109"/>
      <c r="S31" s="109"/>
      <c r="T31" s="110">
        <f t="shared" si="2"/>
        <v>0</v>
      </c>
      <c r="U31" s="128">
        <f t="shared" si="3"/>
        <v>719200</v>
      </c>
    </row>
    <row r="32" spans="1:23" x14ac:dyDescent="0.25">
      <c r="A32" s="70" t="s">
        <v>47</v>
      </c>
      <c r="B32" s="71"/>
      <c r="C32" s="71"/>
      <c r="D32" s="71"/>
      <c r="E32" s="71"/>
      <c r="F32" s="120">
        <v>1473800</v>
      </c>
      <c r="G32" s="120">
        <f t="shared" si="1"/>
        <v>122816.66666666667</v>
      </c>
      <c r="H32" s="108">
        <v>0</v>
      </c>
      <c r="I32" s="108"/>
      <c r="J32" s="108"/>
      <c r="K32" s="112"/>
      <c r="L32" s="112"/>
      <c r="M32" s="112"/>
      <c r="N32" s="108"/>
      <c r="O32" s="108"/>
      <c r="P32" s="108"/>
      <c r="Q32" s="108"/>
      <c r="R32" s="109"/>
      <c r="S32" s="109"/>
      <c r="T32" s="122">
        <f t="shared" si="2"/>
        <v>0</v>
      </c>
      <c r="U32" s="128">
        <f t="shared" si="3"/>
        <v>1473800</v>
      </c>
      <c r="V32" s="85"/>
      <c r="W32" s="85"/>
    </row>
    <row r="33" spans="1:21" ht="15.75" x14ac:dyDescent="0.25">
      <c r="A33" s="130" t="s">
        <v>89</v>
      </c>
      <c r="B33" s="98"/>
      <c r="C33" s="71"/>
      <c r="D33" s="71"/>
      <c r="E33" s="71"/>
      <c r="F33" s="131">
        <f>SUM(F12:F32)</f>
        <v>30950000</v>
      </c>
      <c r="G33" s="131">
        <f>SUM(G12:G32)</f>
        <v>2579166.6666666665</v>
      </c>
      <c r="H33" s="131">
        <f>SUM(H12:H32)</f>
        <v>2203329</v>
      </c>
      <c r="I33" s="108">
        <f t="shared" ref="I33:T33" si="4">SUM(I12:I32)</f>
        <v>0</v>
      </c>
      <c r="J33" s="108">
        <f t="shared" si="4"/>
        <v>0</v>
      </c>
      <c r="K33" s="108">
        <f t="shared" si="4"/>
        <v>0</v>
      </c>
      <c r="L33" s="108">
        <f t="shared" si="4"/>
        <v>0</v>
      </c>
      <c r="M33" s="108">
        <f t="shared" si="4"/>
        <v>0</v>
      </c>
      <c r="N33" s="108">
        <f t="shared" si="4"/>
        <v>0</v>
      </c>
      <c r="O33" s="108">
        <f t="shared" si="4"/>
        <v>0</v>
      </c>
      <c r="P33" s="108">
        <f t="shared" si="4"/>
        <v>0</v>
      </c>
      <c r="Q33" s="108">
        <f t="shared" si="4"/>
        <v>0</v>
      </c>
      <c r="R33" s="109">
        <f t="shared" si="4"/>
        <v>0</v>
      </c>
      <c r="S33" s="109">
        <f t="shared" si="4"/>
        <v>0</v>
      </c>
      <c r="T33" s="110">
        <f t="shared" si="4"/>
        <v>2203329</v>
      </c>
      <c r="U33" s="123">
        <f>SUM(U12:U32)</f>
        <v>28746671</v>
      </c>
    </row>
    <row r="35" spans="1:21" x14ac:dyDescent="0.25">
      <c r="Q35" s="132"/>
    </row>
    <row r="37" spans="1:21" x14ac:dyDescent="0.25">
      <c r="T37" s="111"/>
    </row>
    <row r="40" spans="1:21" x14ac:dyDescent="0.25">
      <c r="O40" s="85"/>
    </row>
  </sheetData>
  <mergeCells count="1">
    <mergeCell ref="F2:F3"/>
  </mergeCells>
  <phoneticPr fontId="28" type="noConversion"/>
  <pageMargins left="0.70866141732283472" right="0.70866141732283472" top="0" bottom="0" header="0" footer="0"/>
  <pageSetup paperSize="9" firstPageNumber="429496729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50"/>
  <sheetViews>
    <sheetView topLeftCell="A31" zoomScale="115" workbookViewId="0">
      <selection activeCell="C52" sqref="C52"/>
    </sheetView>
  </sheetViews>
  <sheetFormatPr defaultRowHeight="15" x14ac:dyDescent="0.25"/>
  <cols>
    <col min="1" max="1" width="36" style="94" customWidth="1"/>
    <col min="2" max="2" width="12.7109375" style="96" bestFit="1" customWidth="1"/>
    <col min="3" max="3" width="13.7109375" style="96" customWidth="1"/>
    <col min="4" max="4" width="9.28515625" style="96" bestFit="1" customWidth="1"/>
    <col min="5" max="5" width="10.85546875" style="96" customWidth="1"/>
    <col min="6" max="6" width="10.28515625" style="96" bestFit="1" customWidth="1"/>
    <col min="7" max="7" width="11.7109375" style="96" customWidth="1"/>
    <col min="8" max="8" width="10.28515625" style="96" bestFit="1" customWidth="1"/>
    <col min="9" max="9" width="9.28515625" style="96" bestFit="1" customWidth="1"/>
    <col min="10" max="11" width="10.28515625" style="96" bestFit="1" customWidth="1"/>
    <col min="12" max="12" width="14.28515625" style="96" customWidth="1"/>
    <col min="13" max="13" width="11.85546875" style="96" bestFit="1" customWidth="1"/>
    <col min="14" max="14" width="12.85546875" style="95" bestFit="1" customWidth="1"/>
  </cols>
  <sheetData>
    <row r="1" spans="1:14" x14ac:dyDescent="0.25">
      <c r="A1" s="133" t="s">
        <v>28</v>
      </c>
      <c r="B1" s="382" t="str">
        <f>'ВСЕ затраты'!B1</f>
        <v>2025-2026гг.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36"/>
    </row>
    <row r="2" spans="1:14" x14ac:dyDescent="0.25">
      <c r="A2" s="137"/>
      <c r="B2" s="178" t="s">
        <v>9</v>
      </c>
      <c r="C2" s="184" t="s">
        <v>14</v>
      </c>
      <c r="D2" s="188" t="s">
        <v>15</v>
      </c>
      <c r="E2" s="184" t="s">
        <v>16</v>
      </c>
      <c r="F2" s="184" t="s">
        <v>17</v>
      </c>
      <c r="G2" s="184" t="s">
        <v>18</v>
      </c>
      <c r="H2" s="184" t="s">
        <v>19</v>
      </c>
      <c r="I2" s="184" t="s">
        <v>4</v>
      </c>
      <c r="J2" s="184" t="s">
        <v>5</v>
      </c>
      <c r="K2" s="184" t="s">
        <v>6</v>
      </c>
      <c r="L2" s="184" t="s">
        <v>7</v>
      </c>
      <c r="M2" s="184" t="s">
        <v>8</v>
      </c>
      <c r="N2" s="141" t="s">
        <v>90</v>
      </c>
    </row>
    <row r="3" spans="1:14" x14ac:dyDescent="0.25">
      <c r="A3" s="146" t="s">
        <v>91</v>
      </c>
      <c r="B3" s="315">
        <v>11000</v>
      </c>
      <c r="C3" s="315">
        <v>11000</v>
      </c>
      <c r="D3" s="316"/>
      <c r="E3" s="315"/>
      <c r="F3" s="315"/>
      <c r="G3" s="315"/>
      <c r="H3" s="315"/>
      <c r="I3" s="315"/>
      <c r="J3" s="315"/>
      <c r="K3" s="315"/>
      <c r="L3" s="315"/>
      <c r="M3" s="315"/>
      <c r="N3" s="145">
        <f t="shared" ref="N3:N18" si="0">SUM(B3:M3)</f>
        <v>22000</v>
      </c>
    </row>
    <row r="4" spans="1:14" x14ac:dyDescent="0.25">
      <c r="A4" s="146" t="s">
        <v>92</v>
      </c>
      <c r="B4" s="315">
        <v>20000</v>
      </c>
      <c r="C4" s="317">
        <f>20000+20000</f>
        <v>40000</v>
      </c>
      <c r="D4" s="318"/>
      <c r="E4" s="317"/>
      <c r="F4" s="317"/>
      <c r="G4" s="317"/>
      <c r="H4" s="317"/>
      <c r="I4" s="317"/>
      <c r="J4" s="317"/>
      <c r="K4" s="317"/>
      <c r="L4" s="317"/>
      <c r="M4" s="317"/>
      <c r="N4" s="145">
        <f t="shared" si="0"/>
        <v>60000</v>
      </c>
    </row>
    <row r="5" spans="1:14" x14ac:dyDescent="0.25">
      <c r="A5" s="146" t="s">
        <v>93</v>
      </c>
      <c r="B5" s="315">
        <v>12274</v>
      </c>
      <c r="C5" s="315">
        <v>13774.09</v>
      </c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145">
        <f t="shared" si="0"/>
        <v>26048.09</v>
      </c>
    </row>
    <row r="6" spans="1:14" x14ac:dyDescent="0.25">
      <c r="A6" s="146" t="s">
        <v>109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45">
        <f t="shared" si="0"/>
        <v>0</v>
      </c>
    </row>
    <row r="7" spans="1:14" x14ac:dyDescent="0.25">
      <c r="A7" s="149" t="s">
        <v>136</v>
      </c>
      <c r="B7" s="178">
        <v>1290</v>
      </c>
      <c r="C7" s="180"/>
      <c r="D7" s="182"/>
      <c r="E7" s="180"/>
      <c r="F7" s="180"/>
      <c r="G7" s="180"/>
      <c r="H7" s="180"/>
      <c r="I7" s="180"/>
      <c r="J7" s="180"/>
      <c r="K7" s="180"/>
      <c r="L7" s="180"/>
      <c r="M7" s="180"/>
      <c r="N7" s="145">
        <f t="shared" si="0"/>
        <v>1290</v>
      </c>
    </row>
    <row r="8" spans="1:14" x14ac:dyDescent="0.25">
      <c r="A8" s="148" t="s">
        <v>137</v>
      </c>
      <c r="B8" s="178">
        <v>750</v>
      </c>
      <c r="C8" s="178">
        <v>6560</v>
      </c>
      <c r="D8" s="179"/>
      <c r="E8" s="178"/>
      <c r="F8" s="178"/>
      <c r="G8" s="178"/>
      <c r="H8" s="178"/>
      <c r="I8" s="178"/>
      <c r="J8" s="178"/>
      <c r="K8" s="178"/>
      <c r="L8" s="178"/>
      <c r="M8" s="178"/>
      <c r="N8" s="145">
        <f t="shared" si="0"/>
        <v>7310</v>
      </c>
    </row>
    <row r="9" spans="1:14" x14ac:dyDescent="0.25">
      <c r="A9" s="356" t="s">
        <v>138</v>
      </c>
      <c r="B9" s="178"/>
      <c r="C9" s="180">
        <f>284.76+4485</f>
        <v>4769.76</v>
      </c>
      <c r="D9" s="182"/>
      <c r="E9" s="180"/>
      <c r="F9" s="180"/>
      <c r="G9" s="180"/>
      <c r="H9" s="180"/>
      <c r="I9" s="180"/>
      <c r="J9" s="180"/>
      <c r="K9" s="180"/>
      <c r="L9" s="180"/>
      <c r="M9" s="180"/>
      <c r="N9" s="145">
        <f t="shared" si="0"/>
        <v>4769.76</v>
      </c>
    </row>
    <row r="10" spans="1:14" x14ac:dyDescent="0.25">
      <c r="A10" s="148" t="s">
        <v>176</v>
      </c>
      <c r="B10" s="178">
        <v>45000</v>
      </c>
      <c r="C10" s="180"/>
      <c r="D10" s="182"/>
      <c r="E10" s="180"/>
      <c r="F10" s="180"/>
      <c r="G10" s="180"/>
      <c r="H10" s="180"/>
      <c r="I10" s="180"/>
      <c r="J10" s="180"/>
      <c r="K10" s="180"/>
      <c r="L10" s="180"/>
      <c r="M10" s="180"/>
      <c r="N10" s="145">
        <f t="shared" si="0"/>
        <v>45000</v>
      </c>
    </row>
    <row r="11" spans="1:14" x14ac:dyDescent="0.25">
      <c r="A11" s="148" t="s">
        <v>153</v>
      </c>
      <c r="B11" s="178">
        <v>698</v>
      </c>
      <c r="C11" s="180">
        <f>714.29+49.95+2286</f>
        <v>3050.24</v>
      </c>
      <c r="D11" s="182"/>
      <c r="E11" s="180"/>
      <c r="F11" s="180"/>
      <c r="G11" s="180"/>
      <c r="H11" s="180"/>
      <c r="I11" s="180"/>
      <c r="J11" s="180"/>
      <c r="K11" s="180"/>
      <c r="L11" s="180"/>
      <c r="M11" s="180"/>
      <c r="N11" s="145">
        <f>SUM(B11:M11)</f>
        <v>3748.24</v>
      </c>
    </row>
    <row r="12" spans="1:14" x14ac:dyDescent="0.25">
      <c r="A12" s="150" t="s">
        <v>142</v>
      </c>
      <c r="B12" s="178"/>
      <c r="C12" s="180"/>
      <c r="D12" s="182"/>
      <c r="E12" s="180"/>
      <c r="F12" s="180"/>
      <c r="G12" s="180"/>
      <c r="H12" s="180"/>
      <c r="I12" s="180"/>
      <c r="J12" s="180"/>
      <c r="K12" s="180"/>
      <c r="L12" s="180"/>
      <c r="M12" s="180"/>
      <c r="N12" s="145">
        <f t="shared" si="0"/>
        <v>0</v>
      </c>
    </row>
    <row r="13" spans="1:14" x14ac:dyDescent="0.25">
      <c r="A13" s="355" t="s">
        <v>113</v>
      </c>
      <c r="B13" s="178"/>
      <c r="C13" s="180">
        <f>247</f>
        <v>247</v>
      </c>
      <c r="D13" s="182"/>
      <c r="E13" s="180"/>
      <c r="F13" s="180"/>
      <c r="G13" s="180"/>
      <c r="H13" s="180"/>
      <c r="I13" s="180"/>
      <c r="J13" s="180"/>
      <c r="K13" s="180"/>
      <c r="L13" s="180"/>
      <c r="M13" s="180"/>
      <c r="N13" s="145">
        <f t="shared" si="0"/>
        <v>247</v>
      </c>
    </row>
    <row r="14" spans="1:14" x14ac:dyDescent="0.25">
      <c r="A14" s="150" t="s">
        <v>178</v>
      </c>
      <c r="B14" s="178">
        <v>1608</v>
      </c>
      <c r="C14" s="180">
        <v>197</v>
      </c>
      <c r="D14" s="182"/>
      <c r="E14" s="180"/>
      <c r="F14" s="180"/>
      <c r="G14" s="180"/>
      <c r="H14" s="180"/>
      <c r="I14" s="180"/>
      <c r="J14" s="180"/>
      <c r="K14" s="180"/>
      <c r="L14" s="180"/>
      <c r="M14" s="180"/>
      <c r="N14" s="145">
        <f t="shared" si="0"/>
        <v>1805</v>
      </c>
    </row>
    <row r="15" spans="1:14" x14ac:dyDescent="0.25">
      <c r="A15" s="354" t="s">
        <v>143</v>
      </c>
      <c r="B15" s="178">
        <v>355</v>
      </c>
      <c r="C15" s="180"/>
      <c r="D15" s="182"/>
      <c r="E15" s="180"/>
      <c r="F15" s="180"/>
      <c r="G15" s="180"/>
      <c r="H15" s="180"/>
      <c r="I15" s="180"/>
      <c r="J15" s="180"/>
      <c r="K15" s="180"/>
      <c r="L15" s="180"/>
      <c r="M15" s="180"/>
      <c r="N15" s="145">
        <f t="shared" si="0"/>
        <v>355</v>
      </c>
    </row>
    <row r="16" spans="1:14" x14ac:dyDescent="0.25">
      <c r="A16" s="150" t="s">
        <v>177</v>
      </c>
      <c r="B16" s="178">
        <v>1595</v>
      </c>
      <c r="C16" s="180"/>
      <c r="D16" s="182"/>
      <c r="E16" s="180"/>
      <c r="F16" s="180"/>
      <c r="G16" s="180"/>
      <c r="H16" s="180"/>
      <c r="I16" s="180"/>
      <c r="J16" s="180"/>
      <c r="K16" s="180"/>
      <c r="L16" s="180"/>
      <c r="M16" s="180"/>
      <c r="N16" s="145">
        <f t="shared" si="0"/>
        <v>1595</v>
      </c>
    </row>
    <row r="17" spans="1:14" x14ac:dyDescent="0.25">
      <c r="A17" s="150" t="s">
        <v>111</v>
      </c>
      <c r="B17" s="178">
        <v>2260</v>
      </c>
      <c r="C17" s="180"/>
      <c r="D17" s="182"/>
      <c r="E17" s="180"/>
      <c r="F17" s="180"/>
      <c r="G17" s="180"/>
      <c r="H17" s="180"/>
      <c r="I17" s="180"/>
      <c r="J17" s="180"/>
      <c r="K17" s="180"/>
      <c r="L17" s="180"/>
      <c r="M17" s="180"/>
      <c r="N17" s="145">
        <f t="shared" si="0"/>
        <v>2260</v>
      </c>
    </row>
    <row r="18" spans="1:14" x14ac:dyDescent="0.25">
      <c r="A18" s="150" t="s">
        <v>179</v>
      </c>
      <c r="B18" s="178">
        <v>420</v>
      </c>
      <c r="C18" s="180"/>
      <c r="D18" s="182"/>
      <c r="E18" s="180"/>
      <c r="F18" s="180"/>
      <c r="G18" s="180"/>
      <c r="H18" s="180"/>
      <c r="I18" s="180"/>
      <c r="J18" s="180"/>
      <c r="K18" s="180"/>
      <c r="L18" s="180"/>
      <c r="M18" s="180"/>
      <c r="N18" s="145">
        <f t="shared" si="0"/>
        <v>420</v>
      </c>
    </row>
    <row r="19" spans="1:14" x14ac:dyDescent="0.25">
      <c r="A19" s="150" t="s">
        <v>180</v>
      </c>
      <c r="B19" s="178">
        <v>1050</v>
      </c>
      <c r="C19" s="180"/>
      <c r="D19" s="182"/>
      <c r="E19" s="180"/>
      <c r="F19" s="180"/>
      <c r="G19" s="180"/>
      <c r="H19" s="180"/>
      <c r="I19" s="180"/>
      <c r="J19" s="180"/>
      <c r="K19" s="180"/>
      <c r="L19" s="180"/>
      <c r="M19" s="180"/>
      <c r="N19" s="145">
        <f t="shared" ref="N19:N39" si="1">SUM(B19:M19)</f>
        <v>1050</v>
      </c>
    </row>
    <row r="20" spans="1:14" x14ac:dyDescent="0.25">
      <c r="A20" s="384" t="s">
        <v>182</v>
      </c>
      <c r="B20" s="178">
        <v>102</v>
      </c>
      <c r="C20" s="180"/>
      <c r="D20" s="182"/>
      <c r="E20" s="180"/>
      <c r="F20" s="180"/>
      <c r="G20" s="180"/>
      <c r="H20" s="180"/>
      <c r="I20" s="180"/>
      <c r="J20" s="180"/>
      <c r="K20" s="180"/>
      <c r="L20" s="180"/>
      <c r="M20" s="180"/>
      <c r="N20" s="145">
        <f t="shared" si="1"/>
        <v>102</v>
      </c>
    </row>
    <row r="21" spans="1:14" x14ac:dyDescent="0.25">
      <c r="A21" s="150" t="s">
        <v>181</v>
      </c>
      <c r="B21" s="178">
        <v>60</v>
      </c>
      <c r="C21" s="180"/>
      <c r="D21" s="182"/>
      <c r="E21" s="180"/>
      <c r="F21" s="180"/>
      <c r="G21" s="180"/>
      <c r="H21" s="180"/>
      <c r="I21" s="180"/>
      <c r="J21" s="180"/>
      <c r="K21" s="180"/>
      <c r="L21" s="180"/>
      <c r="M21" s="180"/>
      <c r="N21" s="145">
        <f t="shared" si="1"/>
        <v>60</v>
      </c>
    </row>
    <row r="22" spans="1:14" x14ac:dyDescent="0.25">
      <c r="A22" s="150" t="s">
        <v>183</v>
      </c>
      <c r="B22" s="178">
        <v>382</v>
      </c>
      <c r="C22" s="180"/>
      <c r="D22" s="182"/>
      <c r="E22" s="180"/>
      <c r="F22" s="180"/>
      <c r="G22" s="180"/>
      <c r="H22" s="180"/>
      <c r="I22" s="180"/>
      <c r="J22" s="180"/>
      <c r="K22" s="180"/>
      <c r="L22" s="180"/>
      <c r="M22" s="180"/>
      <c r="N22" s="145">
        <f t="shared" si="1"/>
        <v>382</v>
      </c>
    </row>
    <row r="23" spans="1:14" x14ac:dyDescent="0.25">
      <c r="A23" s="150" t="s">
        <v>184</v>
      </c>
      <c r="B23" s="178">
        <v>338</v>
      </c>
      <c r="C23" s="180"/>
      <c r="D23" s="182"/>
      <c r="E23" s="180"/>
      <c r="F23" s="180"/>
      <c r="G23" s="180"/>
      <c r="H23" s="180"/>
      <c r="I23" s="180"/>
      <c r="J23" s="180"/>
      <c r="K23" s="180"/>
      <c r="L23" s="180"/>
      <c r="M23" s="180"/>
      <c r="N23" s="145">
        <f t="shared" si="1"/>
        <v>338</v>
      </c>
    </row>
    <row r="24" spans="1:14" x14ac:dyDescent="0.25">
      <c r="A24" s="150" t="s">
        <v>159</v>
      </c>
      <c r="B24" s="178">
        <v>378</v>
      </c>
      <c r="C24" s="180"/>
      <c r="D24" s="182"/>
      <c r="E24" s="180"/>
      <c r="F24" s="180"/>
      <c r="G24" s="180"/>
      <c r="H24" s="180"/>
      <c r="I24" s="180"/>
      <c r="J24" s="180"/>
      <c r="K24" s="180"/>
      <c r="L24" s="180"/>
      <c r="M24" s="180"/>
      <c r="N24" s="145">
        <f>SUM(B24:M24)</f>
        <v>378</v>
      </c>
    </row>
    <row r="25" spans="1:14" x14ac:dyDescent="0.25">
      <c r="A25" s="356" t="s">
        <v>150</v>
      </c>
      <c r="B25" s="178"/>
      <c r="C25" s="180"/>
      <c r="D25" s="182"/>
      <c r="E25" s="180"/>
      <c r="F25" s="180"/>
      <c r="G25" s="180"/>
      <c r="H25" s="180"/>
      <c r="I25" s="180"/>
      <c r="J25" s="180"/>
      <c r="K25" s="180"/>
      <c r="L25" s="180"/>
      <c r="M25" s="180"/>
      <c r="N25" s="145">
        <f t="shared" si="1"/>
        <v>0</v>
      </c>
    </row>
    <row r="26" spans="1:14" x14ac:dyDescent="0.25">
      <c r="A26" s="150" t="s">
        <v>185</v>
      </c>
      <c r="B26" s="178">
        <v>166</v>
      </c>
      <c r="C26" s="180"/>
      <c r="D26" s="182"/>
      <c r="E26" s="180"/>
      <c r="F26" s="180"/>
      <c r="G26" s="180"/>
      <c r="H26" s="180"/>
      <c r="I26" s="180"/>
      <c r="J26" s="180"/>
      <c r="K26" s="180"/>
      <c r="L26" s="180"/>
      <c r="M26" s="180"/>
      <c r="N26" s="145">
        <f t="shared" si="1"/>
        <v>166</v>
      </c>
    </row>
    <row r="27" spans="1:14" x14ac:dyDescent="0.25">
      <c r="A27" s="150" t="s">
        <v>194</v>
      </c>
      <c r="B27" s="178">
        <v>25604</v>
      </c>
      <c r="C27" s="180"/>
      <c r="D27" s="182"/>
      <c r="E27" s="180"/>
      <c r="F27" s="180"/>
      <c r="G27" s="180"/>
      <c r="H27" s="180"/>
      <c r="I27" s="180"/>
      <c r="J27" s="180"/>
      <c r="K27" s="180"/>
      <c r="L27" s="180"/>
      <c r="M27" s="180"/>
      <c r="N27" s="145">
        <f t="shared" si="1"/>
        <v>25604</v>
      </c>
    </row>
    <row r="28" spans="1:14" x14ac:dyDescent="0.25">
      <c r="A28" s="150" t="s">
        <v>195</v>
      </c>
      <c r="B28" s="178">
        <v>309</v>
      </c>
      <c r="C28" s="180"/>
      <c r="D28" s="182"/>
      <c r="E28" s="180"/>
      <c r="F28" s="180"/>
      <c r="G28" s="180"/>
      <c r="H28" s="180"/>
      <c r="I28" s="180"/>
      <c r="J28" s="180"/>
      <c r="K28" s="180"/>
      <c r="L28" s="180"/>
      <c r="M28" s="180"/>
      <c r="N28" s="145">
        <f t="shared" si="1"/>
        <v>309</v>
      </c>
    </row>
    <row r="29" spans="1:14" x14ac:dyDescent="0.25">
      <c r="A29" s="150" t="s">
        <v>196</v>
      </c>
      <c r="B29" s="178">
        <v>579</v>
      </c>
      <c r="C29" s="180"/>
      <c r="D29" s="182"/>
      <c r="E29" s="180"/>
      <c r="F29" s="180"/>
      <c r="G29" s="180"/>
      <c r="H29" s="180"/>
      <c r="I29" s="180"/>
      <c r="J29" s="180"/>
      <c r="K29" s="180"/>
      <c r="L29" s="180"/>
      <c r="M29" s="180"/>
      <c r="N29" s="145">
        <f t="shared" si="1"/>
        <v>579</v>
      </c>
    </row>
    <row r="30" spans="1:14" x14ac:dyDescent="0.25">
      <c r="A30" s="150" t="s">
        <v>197</v>
      </c>
      <c r="B30" s="178">
        <v>6224</v>
      </c>
      <c r="C30" s="180"/>
      <c r="D30" s="182"/>
      <c r="E30" s="180"/>
      <c r="F30" s="180"/>
      <c r="G30" s="180"/>
      <c r="H30" s="180"/>
      <c r="I30" s="180"/>
      <c r="J30" s="180"/>
      <c r="K30" s="180"/>
      <c r="L30" s="180"/>
      <c r="M30" s="180"/>
      <c r="N30" s="145">
        <f t="shared" si="1"/>
        <v>6224</v>
      </c>
    </row>
    <row r="31" spans="1:14" x14ac:dyDescent="0.25">
      <c r="A31" s="150" t="s">
        <v>198</v>
      </c>
      <c r="B31" s="178">
        <v>3038</v>
      </c>
      <c r="C31" s="180"/>
      <c r="D31" s="182"/>
      <c r="E31" s="180"/>
      <c r="F31" s="180"/>
      <c r="G31" s="180"/>
      <c r="H31" s="180"/>
      <c r="I31" s="180"/>
      <c r="J31" s="180"/>
      <c r="K31" s="180"/>
      <c r="L31" s="180"/>
      <c r="M31" s="180"/>
      <c r="N31" s="145">
        <f t="shared" si="1"/>
        <v>3038</v>
      </c>
    </row>
    <row r="32" spans="1:14" x14ac:dyDescent="0.25">
      <c r="A32" s="150" t="s">
        <v>199</v>
      </c>
      <c r="B32" s="178">
        <v>1044</v>
      </c>
      <c r="C32" s="180"/>
      <c r="D32" s="182"/>
      <c r="E32" s="180"/>
      <c r="F32" s="180"/>
      <c r="G32" s="180"/>
      <c r="H32" s="180"/>
      <c r="I32" s="180"/>
      <c r="J32" s="180"/>
      <c r="K32" s="180"/>
      <c r="L32" s="180"/>
      <c r="M32" s="180"/>
      <c r="N32" s="145">
        <f t="shared" si="1"/>
        <v>1044</v>
      </c>
    </row>
    <row r="33" spans="1:14" x14ac:dyDescent="0.25">
      <c r="A33" s="150" t="s">
        <v>200</v>
      </c>
      <c r="B33" s="178">
        <v>1328</v>
      </c>
      <c r="C33" s="180"/>
      <c r="D33" s="182"/>
      <c r="E33" s="180"/>
      <c r="F33" s="180"/>
      <c r="G33" s="180"/>
      <c r="H33" s="180"/>
      <c r="I33" s="180"/>
      <c r="J33" s="180"/>
      <c r="K33" s="180"/>
      <c r="L33" s="180"/>
      <c r="M33" s="180"/>
      <c r="N33" s="145">
        <f t="shared" si="1"/>
        <v>1328</v>
      </c>
    </row>
    <row r="34" spans="1:14" x14ac:dyDescent="0.25">
      <c r="A34" s="150" t="s">
        <v>201</v>
      </c>
      <c r="B34" s="178">
        <v>1447</v>
      </c>
      <c r="C34" s="180"/>
      <c r="D34" s="182"/>
      <c r="E34" s="180"/>
      <c r="F34" s="180"/>
      <c r="G34" s="180"/>
      <c r="H34" s="180"/>
      <c r="I34" s="180"/>
      <c r="J34" s="180"/>
      <c r="K34" s="180"/>
      <c r="L34" s="180"/>
      <c r="M34" s="180"/>
      <c r="N34" s="145">
        <f t="shared" si="1"/>
        <v>1447</v>
      </c>
    </row>
    <row r="35" spans="1:14" x14ac:dyDescent="0.25">
      <c r="A35" s="150" t="s">
        <v>206</v>
      </c>
      <c r="B35" s="178">
        <v>200</v>
      </c>
      <c r="C35" s="180"/>
      <c r="D35" s="182"/>
      <c r="E35" s="180"/>
      <c r="F35" s="180"/>
      <c r="G35" s="180"/>
      <c r="H35" s="180"/>
      <c r="I35" s="180"/>
      <c r="J35" s="180"/>
      <c r="K35" s="180"/>
      <c r="L35" s="180"/>
      <c r="M35" s="180"/>
      <c r="N35" s="145">
        <f t="shared" si="1"/>
        <v>200</v>
      </c>
    </row>
    <row r="36" spans="1:14" x14ac:dyDescent="0.25">
      <c r="A36" s="385" t="s">
        <v>158</v>
      </c>
      <c r="B36" s="181">
        <v>1500</v>
      </c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45">
        <f t="shared" si="1"/>
        <v>1500</v>
      </c>
    </row>
    <row r="37" spans="1:14" x14ac:dyDescent="0.25">
      <c r="A37" s="385" t="s">
        <v>164</v>
      </c>
      <c r="B37" s="181">
        <v>200</v>
      </c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45">
        <f t="shared" si="1"/>
        <v>200</v>
      </c>
    </row>
    <row r="38" spans="1:14" x14ac:dyDescent="0.25">
      <c r="A38" s="385" t="s">
        <v>203</v>
      </c>
      <c r="B38" s="181">
        <v>1400</v>
      </c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45">
        <f t="shared" si="1"/>
        <v>1400</v>
      </c>
    </row>
    <row r="39" spans="1:14" x14ac:dyDescent="0.25">
      <c r="A39" s="385" t="s">
        <v>204</v>
      </c>
      <c r="B39" s="181">
        <v>183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45">
        <f t="shared" si="1"/>
        <v>183</v>
      </c>
    </row>
    <row r="40" spans="1:14" x14ac:dyDescent="0.25">
      <c r="A40" s="340" t="s">
        <v>205</v>
      </c>
      <c r="B40" s="178">
        <v>4350</v>
      </c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45">
        <f t="shared" ref="N40:N57" si="2">SUM(B40:M40)</f>
        <v>4350</v>
      </c>
    </row>
    <row r="41" spans="1:14" x14ac:dyDescent="0.25">
      <c r="A41" s="340" t="s">
        <v>215</v>
      </c>
      <c r="B41" s="178"/>
      <c r="C41" s="178">
        <v>1800</v>
      </c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45">
        <f t="shared" si="2"/>
        <v>1800</v>
      </c>
    </row>
    <row r="42" spans="1:14" x14ac:dyDescent="0.25">
      <c r="A42" s="340" t="s">
        <v>111</v>
      </c>
      <c r="B42" s="178"/>
      <c r="C42" s="178">
        <v>1383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45">
        <f t="shared" si="2"/>
        <v>1383</v>
      </c>
    </row>
    <row r="43" spans="1:14" x14ac:dyDescent="0.25">
      <c r="A43" s="340" t="s">
        <v>231</v>
      </c>
      <c r="B43" s="178"/>
      <c r="C43" s="178">
        <v>495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45">
        <f t="shared" si="2"/>
        <v>495</v>
      </c>
    </row>
    <row r="44" spans="1:14" x14ac:dyDescent="0.25">
      <c r="A44" s="340" t="s">
        <v>232</v>
      </c>
      <c r="B44" s="178"/>
      <c r="C44" s="178">
        <v>3290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45">
        <f t="shared" si="2"/>
        <v>3290</v>
      </c>
    </row>
    <row r="45" spans="1:14" x14ac:dyDescent="0.25">
      <c r="A45" s="340" t="s">
        <v>225</v>
      </c>
      <c r="B45" s="178"/>
      <c r="C45" s="178">
        <v>993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45">
        <f t="shared" si="2"/>
        <v>993</v>
      </c>
    </row>
    <row r="46" spans="1:14" x14ac:dyDescent="0.25">
      <c r="A46" s="340" t="s">
        <v>233</v>
      </c>
      <c r="B46" s="178"/>
      <c r="C46" s="178">
        <v>900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45">
        <f t="shared" si="2"/>
        <v>900</v>
      </c>
    </row>
    <row r="47" spans="1:14" x14ac:dyDescent="0.25">
      <c r="A47" s="340" t="s">
        <v>234</v>
      </c>
      <c r="B47" s="178"/>
      <c r="C47" s="178">
        <v>599.98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45">
        <f t="shared" si="2"/>
        <v>599.98</v>
      </c>
    </row>
    <row r="48" spans="1:14" x14ac:dyDescent="0.25">
      <c r="A48" s="340" t="s">
        <v>235</v>
      </c>
      <c r="B48" s="178"/>
      <c r="C48" s="178">
        <v>3400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45">
        <f t="shared" si="2"/>
        <v>3400</v>
      </c>
    </row>
    <row r="49" spans="1:14" x14ac:dyDescent="0.25">
      <c r="A49" s="340" t="s">
        <v>236</v>
      </c>
      <c r="B49" s="178"/>
      <c r="C49" s="178">
        <f>50+50+1</f>
        <v>101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45">
        <f t="shared" si="2"/>
        <v>101</v>
      </c>
    </row>
    <row r="50" spans="1:14" x14ac:dyDescent="0.25">
      <c r="A50" s="340" t="s">
        <v>237</v>
      </c>
      <c r="B50" s="178"/>
      <c r="C50" s="178">
        <v>1455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45">
        <f t="shared" si="2"/>
        <v>1455</v>
      </c>
    </row>
    <row r="51" spans="1:14" x14ac:dyDescent="0.25">
      <c r="A51" s="340" t="s">
        <v>238</v>
      </c>
      <c r="B51" s="178"/>
      <c r="C51" s="178">
        <v>1002.52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45">
        <f t="shared" si="2"/>
        <v>1002.52</v>
      </c>
    </row>
    <row r="52" spans="1:14" x14ac:dyDescent="0.25">
      <c r="A52" s="340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45">
        <f t="shared" si="2"/>
        <v>0</v>
      </c>
    </row>
    <row r="53" spans="1:14" x14ac:dyDescent="0.25">
      <c r="A53" s="340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45">
        <f t="shared" si="2"/>
        <v>0</v>
      </c>
    </row>
    <row r="54" spans="1:14" x14ac:dyDescent="0.25">
      <c r="A54" s="366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45">
        <f t="shared" si="2"/>
        <v>0</v>
      </c>
    </row>
    <row r="55" spans="1:14" x14ac:dyDescent="0.25">
      <c r="A55" s="340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45">
        <f t="shared" si="2"/>
        <v>0</v>
      </c>
    </row>
    <row r="56" spans="1:14" x14ac:dyDescent="0.25">
      <c r="A56" s="340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45">
        <f t="shared" si="2"/>
        <v>0</v>
      </c>
    </row>
    <row r="57" spans="1:14" x14ac:dyDescent="0.25">
      <c r="A57" s="340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45">
        <f t="shared" si="2"/>
        <v>0</v>
      </c>
    </row>
    <row r="58" spans="1:14" x14ac:dyDescent="0.25">
      <c r="A58" s="340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80">
        <f t="shared" ref="N58:N148" si="3">SUM(B58:M58)</f>
        <v>0</v>
      </c>
    </row>
    <row r="59" spans="1:14" x14ac:dyDescent="0.25">
      <c r="A59" s="340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80">
        <f t="shared" si="3"/>
        <v>0</v>
      </c>
    </row>
    <row r="60" spans="1:14" x14ac:dyDescent="0.25">
      <c r="A60" s="296"/>
      <c r="B60" s="178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0">
        <f t="shared" si="3"/>
        <v>0</v>
      </c>
    </row>
    <row r="61" spans="1:14" x14ac:dyDescent="0.25">
      <c r="A61" s="340"/>
      <c r="B61" s="178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0">
        <f t="shared" si="3"/>
        <v>0</v>
      </c>
    </row>
    <row r="62" spans="1:14" x14ac:dyDescent="0.25">
      <c r="A62" s="296"/>
      <c r="B62" s="178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>
        <f t="shared" si="3"/>
        <v>0</v>
      </c>
    </row>
    <row r="63" spans="1:14" x14ac:dyDescent="0.25">
      <c r="A63" s="340"/>
      <c r="B63" s="178"/>
      <c r="C63" s="178"/>
      <c r="D63" s="189"/>
      <c r="E63" s="178"/>
      <c r="F63" s="178"/>
      <c r="G63" s="178"/>
      <c r="H63" s="178"/>
      <c r="I63" s="178"/>
      <c r="J63" s="178"/>
      <c r="K63" s="178"/>
      <c r="L63" s="178"/>
      <c r="M63" s="178"/>
      <c r="N63" s="180">
        <f t="shared" si="3"/>
        <v>0</v>
      </c>
    </row>
    <row r="64" spans="1:14" x14ac:dyDescent="0.25">
      <c r="A64" s="296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80">
        <f t="shared" si="3"/>
        <v>0</v>
      </c>
    </row>
    <row r="65" spans="1:14" x14ac:dyDescent="0.25">
      <c r="A65" s="340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80">
        <f t="shared" si="3"/>
        <v>0</v>
      </c>
    </row>
    <row r="66" spans="1:14" x14ac:dyDescent="0.25">
      <c r="A66" s="36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80">
        <f t="shared" si="3"/>
        <v>0</v>
      </c>
    </row>
    <row r="67" spans="1:14" x14ac:dyDescent="0.25">
      <c r="A67" s="340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80">
        <f t="shared" si="3"/>
        <v>0</v>
      </c>
    </row>
    <row r="68" spans="1:14" x14ac:dyDescent="0.25">
      <c r="A68" s="36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80">
        <f t="shared" si="3"/>
        <v>0</v>
      </c>
    </row>
    <row r="69" spans="1:14" x14ac:dyDescent="0.25">
      <c r="A69" s="340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80">
        <f t="shared" si="3"/>
        <v>0</v>
      </c>
    </row>
    <row r="70" spans="1:14" x14ac:dyDescent="0.25">
      <c r="A70" s="36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80">
        <f t="shared" si="3"/>
        <v>0</v>
      </c>
    </row>
    <row r="71" spans="1:14" x14ac:dyDescent="0.25">
      <c r="A71" s="340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80">
        <f t="shared" si="3"/>
        <v>0</v>
      </c>
    </row>
    <row r="72" spans="1:14" x14ac:dyDescent="0.25">
      <c r="A72" s="296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80">
        <f t="shared" si="3"/>
        <v>0</v>
      </c>
    </row>
    <row r="73" spans="1:14" x14ac:dyDescent="0.25">
      <c r="A73" s="340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80">
        <f t="shared" si="3"/>
        <v>0</v>
      </c>
    </row>
    <row r="74" spans="1:14" x14ac:dyDescent="0.25">
      <c r="A74" s="296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80">
        <f t="shared" si="3"/>
        <v>0</v>
      </c>
    </row>
    <row r="75" spans="1:14" x14ac:dyDescent="0.25">
      <c r="A75" s="340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80">
        <f t="shared" si="3"/>
        <v>0</v>
      </c>
    </row>
    <row r="76" spans="1:14" x14ac:dyDescent="0.25">
      <c r="A76" s="369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80">
        <f t="shared" si="3"/>
        <v>0</v>
      </c>
    </row>
    <row r="77" spans="1:14" x14ac:dyDescent="0.25">
      <c r="A77" s="340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80">
        <f t="shared" si="3"/>
        <v>0</v>
      </c>
    </row>
    <row r="78" spans="1:14" x14ac:dyDescent="0.25">
      <c r="A78" s="340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80">
        <f t="shared" si="3"/>
        <v>0</v>
      </c>
    </row>
    <row r="79" spans="1:14" x14ac:dyDescent="0.25">
      <c r="A79" s="296"/>
      <c r="B79" s="178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>
        <f t="shared" si="3"/>
        <v>0</v>
      </c>
    </row>
    <row r="80" spans="1:14" x14ac:dyDescent="0.25">
      <c r="A80" s="340"/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>
        <f t="shared" si="3"/>
        <v>0</v>
      </c>
    </row>
    <row r="81" spans="1:14" x14ac:dyDescent="0.25">
      <c r="A81" s="296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>
        <f t="shared" si="3"/>
        <v>0</v>
      </c>
    </row>
    <row r="82" spans="1:14" x14ac:dyDescent="0.25">
      <c r="A82" s="340"/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>
        <f t="shared" si="3"/>
        <v>0</v>
      </c>
    </row>
    <row r="83" spans="1:14" x14ac:dyDescent="0.25">
      <c r="A83" s="296"/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>
        <f t="shared" si="3"/>
        <v>0</v>
      </c>
    </row>
    <row r="84" spans="1:14" x14ac:dyDescent="0.25">
      <c r="A84" s="148"/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>
        <f t="shared" si="3"/>
        <v>0</v>
      </c>
    </row>
    <row r="85" spans="1:14" x14ac:dyDescent="0.25">
      <c r="A85" s="148"/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>
        <f t="shared" si="3"/>
        <v>0</v>
      </c>
    </row>
    <row r="86" spans="1:14" x14ac:dyDescent="0.25">
      <c r="A86" s="148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>
        <f t="shared" si="3"/>
        <v>0</v>
      </c>
    </row>
    <row r="87" spans="1:14" x14ac:dyDescent="0.25">
      <c r="A87" s="148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>
        <f t="shared" si="3"/>
        <v>0</v>
      </c>
    </row>
    <row r="88" spans="1:14" x14ac:dyDescent="0.25">
      <c r="A88" s="148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>
        <f t="shared" si="3"/>
        <v>0</v>
      </c>
    </row>
    <row r="89" spans="1:14" x14ac:dyDescent="0.25">
      <c r="A89" s="148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>
        <f t="shared" si="3"/>
        <v>0</v>
      </c>
    </row>
    <row r="90" spans="1:14" x14ac:dyDescent="0.25">
      <c r="A90" s="148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>
        <f t="shared" si="3"/>
        <v>0</v>
      </c>
    </row>
    <row r="91" spans="1:14" x14ac:dyDescent="0.25">
      <c r="A91" s="148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>
        <f t="shared" si="3"/>
        <v>0</v>
      </c>
    </row>
    <row r="92" spans="1:14" x14ac:dyDescent="0.25">
      <c r="A92" s="148"/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>
        <f t="shared" si="3"/>
        <v>0</v>
      </c>
    </row>
    <row r="93" spans="1:14" x14ac:dyDescent="0.25">
      <c r="A93" s="148"/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>
        <f t="shared" si="3"/>
        <v>0</v>
      </c>
    </row>
    <row r="94" spans="1:14" x14ac:dyDescent="0.25">
      <c r="A94" s="148"/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>
        <f t="shared" si="3"/>
        <v>0</v>
      </c>
    </row>
    <row r="95" spans="1:14" x14ac:dyDescent="0.25">
      <c r="A95" s="148"/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>
        <f t="shared" si="3"/>
        <v>0</v>
      </c>
    </row>
    <row r="96" spans="1:14" x14ac:dyDescent="0.25">
      <c r="A96" s="148"/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>
        <f t="shared" si="3"/>
        <v>0</v>
      </c>
    </row>
    <row r="97" spans="1:14" x14ac:dyDescent="0.25">
      <c r="A97" s="148"/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>
        <f t="shared" si="3"/>
        <v>0</v>
      </c>
    </row>
    <row r="98" spans="1:14" x14ac:dyDescent="0.25">
      <c r="A98" s="148"/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>
        <f t="shared" si="3"/>
        <v>0</v>
      </c>
    </row>
    <row r="99" spans="1:14" x14ac:dyDescent="0.25">
      <c r="A99" s="148"/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>
        <f t="shared" si="3"/>
        <v>0</v>
      </c>
    </row>
    <row r="100" spans="1:14" x14ac:dyDescent="0.25">
      <c r="A100" s="148"/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>
        <f t="shared" si="3"/>
        <v>0</v>
      </c>
    </row>
    <row r="101" spans="1:14" x14ac:dyDescent="0.25">
      <c r="A101" s="148"/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>
        <f t="shared" si="3"/>
        <v>0</v>
      </c>
    </row>
    <row r="102" spans="1:14" x14ac:dyDescent="0.25">
      <c r="A102" s="148"/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>
        <f t="shared" si="3"/>
        <v>0</v>
      </c>
    </row>
    <row r="103" spans="1:14" x14ac:dyDescent="0.25">
      <c r="A103" s="148"/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>
        <f t="shared" si="3"/>
        <v>0</v>
      </c>
    </row>
    <row r="104" spans="1:14" x14ac:dyDescent="0.25">
      <c r="A104" s="148"/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>
        <f t="shared" si="3"/>
        <v>0</v>
      </c>
    </row>
    <row r="105" spans="1:14" x14ac:dyDescent="0.25">
      <c r="A105" s="148"/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>
        <f t="shared" si="3"/>
        <v>0</v>
      </c>
    </row>
    <row r="106" spans="1:14" x14ac:dyDescent="0.25">
      <c r="A106" s="148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>
        <f t="shared" si="3"/>
        <v>0</v>
      </c>
    </row>
    <row r="107" spans="1:14" x14ac:dyDescent="0.25">
      <c r="A107" s="151"/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0">
        <f t="shared" si="3"/>
        <v>0</v>
      </c>
    </row>
    <row r="108" spans="1:14" x14ac:dyDescent="0.25">
      <c r="A108" s="370"/>
      <c r="B108" s="371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71"/>
      <c r="N108" s="180">
        <f t="shared" si="3"/>
        <v>0</v>
      </c>
    </row>
    <row r="109" spans="1:14" x14ac:dyDescent="0.25">
      <c r="A109" s="370"/>
      <c r="B109" s="371"/>
      <c r="C109" s="371"/>
      <c r="D109" s="371"/>
      <c r="E109" s="371"/>
      <c r="F109" s="371"/>
      <c r="G109" s="371"/>
      <c r="H109" s="371"/>
      <c r="I109" s="371"/>
      <c r="J109" s="371"/>
      <c r="K109" s="371"/>
      <c r="L109" s="371"/>
      <c r="M109" s="371"/>
      <c r="N109" s="180">
        <f t="shared" si="3"/>
        <v>0</v>
      </c>
    </row>
    <row r="110" spans="1:14" x14ac:dyDescent="0.25">
      <c r="A110" s="370"/>
      <c r="B110" s="371"/>
      <c r="C110" s="371"/>
      <c r="D110" s="371"/>
      <c r="E110" s="371"/>
      <c r="F110" s="371"/>
      <c r="G110" s="371"/>
      <c r="H110" s="371"/>
      <c r="I110" s="371"/>
      <c r="J110" s="371"/>
      <c r="K110" s="371"/>
      <c r="L110" s="371"/>
      <c r="M110" s="371"/>
      <c r="N110" s="180">
        <f t="shared" si="3"/>
        <v>0</v>
      </c>
    </row>
    <row r="111" spans="1:14" x14ac:dyDescent="0.25">
      <c r="A111" s="370"/>
      <c r="B111" s="371"/>
      <c r="C111" s="371"/>
      <c r="D111" s="371"/>
      <c r="E111" s="371"/>
      <c r="F111" s="371"/>
      <c r="G111" s="371"/>
      <c r="H111" s="371"/>
      <c r="I111" s="371"/>
      <c r="J111" s="371"/>
      <c r="K111" s="371"/>
      <c r="L111" s="371"/>
      <c r="M111" s="371"/>
      <c r="N111" s="180">
        <f t="shared" si="3"/>
        <v>0</v>
      </c>
    </row>
    <row r="112" spans="1:14" x14ac:dyDescent="0.25">
      <c r="A112" s="370"/>
      <c r="B112" s="371"/>
      <c r="C112" s="371"/>
      <c r="D112" s="371"/>
      <c r="E112" s="371"/>
      <c r="F112" s="371"/>
      <c r="G112" s="371"/>
      <c r="H112" s="371"/>
      <c r="I112" s="371"/>
      <c r="J112" s="371"/>
      <c r="K112" s="371"/>
      <c r="L112" s="371"/>
      <c r="M112" s="371"/>
      <c r="N112" s="180">
        <f t="shared" si="3"/>
        <v>0</v>
      </c>
    </row>
    <row r="113" spans="1:14" x14ac:dyDescent="0.25">
      <c r="A113" s="370"/>
      <c r="B113" s="371"/>
      <c r="C113" s="371"/>
      <c r="D113" s="371"/>
      <c r="E113" s="371"/>
      <c r="F113" s="371"/>
      <c r="G113" s="371"/>
      <c r="H113" s="371"/>
      <c r="I113" s="371"/>
      <c r="J113" s="371"/>
      <c r="K113" s="371"/>
      <c r="L113" s="371"/>
      <c r="M113" s="371"/>
      <c r="N113" s="180">
        <f t="shared" si="3"/>
        <v>0</v>
      </c>
    </row>
    <row r="114" spans="1:14" x14ac:dyDescent="0.25">
      <c r="A114" s="370"/>
      <c r="B114" s="371"/>
      <c r="C114" s="371"/>
      <c r="D114" s="371"/>
      <c r="E114" s="371"/>
      <c r="F114" s="371"/>
      <c r="G114" s="371"/>
      <c r="H114" s="371"/>
      <c r="I114" s="371"/>
      <c r="J114" s="371"/>
      <c r="K114" s="371"/>
      <c r="L114" s="371"/>
      <c r="M114" s="371"/>
      <c r="N114" s="180">
        <f t="shared" si="3"/>
        <v>0</v>
      </c>
    </row>
    <row r="115" spans="1:14" x14ac:dyDescent="0.25">
      <c r="A115" s="370"/>
      <c r="B115" s="371"/>
      <c r="C115" s="371"/>
      <c r="D115" s="371"/>
      <c r="E115" s="371"/>
      <c r="F115" s="371"/>
      <c r="G115" s="371"/>
      <c r="H115" s="371"/>
      <c r="I115" s="371"/>
      <c r="J115" s="371"/>
      <c r="K115" s="371"/>
      <c r="L115" s="371"/>
      <c r="M115" s="371"/>
      <c r="N115" s="180">
        <f t="shared" si="3"/>
        <v>0</v>
      </c>
    </row>
    <row r="116" spans="1:14" x14ac:dyDescent="0.25">
      <c r="A116" s="370"/>
      <c r="B116" s="371"/>
      <c r="C116" s="371"/>
      <c r="D116" s="371"/>
      <c r="E116" s="371"/>
      <c r="F116" s="371"/>
      <c r="G116" s="371"/>
      <c r="H116" s="371"/>
      <c r="I116" s="371"/>
      <c r="J116" s="371"/>
      <c r="K116" s="371"/>
      <c r="L116" s="371"/>
      <c r="M116" s="371"/>
      <c r="N116" s="180">
        <f t="shared" si="3"/>
        <v>0</v>
      </c>
    </row>
    <row r="117" spans="1:14" x14ac:dyDescent="0.25">
      <c r="A117" s="370"/>
      <c r="B117" s="371"/>
      <c r="C117" s="371"/>
      <c r="D117" s="371"/>
      <c r="E117" s="371"/>
      <c r="F117" s="371"/>
      <c r="G117" s="371"/>
      <c r="H117" s="371"/>
      <c r="I117" s="371"/>
      <c r="J117" s="371"/>
      <c r="K117" s="371"/>
      <c r="L117" s="371"/>
      <c r="M117" s="371"/>
      <c r="N117" s="180">
        <f t="shared" si="3"/>
        <v>0</v>
      </c>
    </row>
    <row r="118" spans="1:14" x14ac:dyDescent="0.25">
      <c r="A118" s="370"/>
      <c r="B118" s="371"/>
      <c r="C118" s="371"/>
      <c r="D118" s="371"/>
      <c r="E118" s="371"/>
      <c r="F118" s="371"/>
      <c r="G118" s="371"/>
      <c r="H118" s="371"/>
      <c r="I118" s="371"/>
      <c r="J118" s="371"/>
      <c r="K118" s="371"/>
      <c r="L118" s="371"/>
      <c r="M118" s="371"/>
      <c r="N118" s="180">
        <f t="shared" si="3"/>
        <v>0</v>
      </c>
    </row>
    <row r="119" spans="1:14" x14ac:dyDescent="0.25">
      <c r="A119" s="370"/>
      <c r="B119" s="371"/>
      <c r="C119" s="371"/>
      <c r="D119" s="371"/>
      <c r="E119" s="371"/>
      <c r="F119" s="371"/>
      <c r="G119" s="371"/>
      <c r="H119" s="371"/>
      <c r="I119" s="371"/>
      <c r="J119" s="371"/>
      <c r="K119" s="371"/>
      <c r="L119" s="371"/>
      <c r="M119" s="371"/>
      <c r="N119" s="180">
        <f t="shared" si="3"/>
        <v>0</v>
      </c>
    </row>
    <row r="120" spans="1:14" x14ac:dyDescent="0.25">
      <c r="A120" s="370"/>
      <c r="B120" s="371"/>
      <c r="C120" s="371"/>
      <c r="D120" s="371"/>
      <c r="E120" s="371"/>
      <c r="F120" s="371"/>
      <c r="G120" s="371"/>
      <c r="H120" s="371"/>
      <c r="I120" s="371"/>
      <c r="J120" s="371"/>
      <c r="K120" s="371"/>
      <c r="L120" s="371"/>
      <c r="M120" s="371"/>
      <c r="N120" s="180">
        <f t="shared" si="3"/>
        <v>0</v>
      </c>
    </row>
    <row r="121" spans="1:14" x14ac:dyDescent="0.25">
      <c r="A121" s="370"/>
      <c r="B121" s="371"/>
      <c r="C121" s="371"/>
      <c r="D121" s="371"/>
      <c r="E121" s="371"/>
      <c r="F121" s="371"/>
      <c r="G121" s="371"/>
      <c r="H121" s="371"/>
      <c r="I121" s="371"/>
      <c r="J121" s="371"/>
      <c r="K121" s="371"/>
      <c r="L121" s="371"/>
      <c r="M121" s="371"/>
      <c r="N121" s="180">
        <f t="shared" si="3"/>
        <v>0</v>
      </c>
    </row>
    <row r="122" spans="1:14" x14ac:dyDescent="0.25">
      <c r="A122" s="370"/>
      <c r="B122" s="371"/>
      <c r="C122" s="371"/>
      <c r="D122" s="371"/>
      <c r="E122" s="371"/>
      <c r="F122" s="371"/>
      <c r="G122" s="371"/>
      <c r="H122" s="371"/>
      <c r="I122" s="371"/>
      <c r="J122" s="371"/>
      <c r="K122" s="371"/>
      <c r="L122" s="371"/>
      <c r="M122" s="371"/>
      <c r="N122" s="180">
        <f t="shared" si="3"/>
        <v>0</v>
      </c>
    </row>
    <row r="123" spans="1:14" x14ac:dyDescent="0.25">
      <c r="A123" s="370"/>
      <c r="B123" s="371"/>
      <c r="C123" s="371"/>
      <c r="D123" s="371"/>
      <c r="E123" s="371"/>
      <c r="F123" s="371"/>
      <c r="G123" s="371"/>
      <c r="H123" s="371"/>
      <c r="I123" s="371"/>
      <c r="J123" s="371"/>
      <c r="K123" s="371"/>
      <c r="L123" s="371"/>
      <c r="M123" s="371"/>
      <c r="N123" s="180">
        <f t="shared" si="3"/>
        <v>0</v>
      </c>
    </row>
    <row r="124" spans="1:14" x14ac:dyDescent="0.25">
      <c r="A124" s="372"/>
      <c r="B124" s="371"/>
      <c r="C124" s="371"/>
      <c r="D124" s="371"/>
      <c r="E124" s="371"/>
      <c r="F124" s="371"/>
      <c r="G124" s="371"/>
      <c r="H124" s="371"/>
      <c r="I124" s="371"/>
      <c r="J124" s="371"/>
      <c r="K124" s="371"/>
      <c r="L124" s="371"/>
      <c r="M124" s="371"/>
      <c r="N124" s="180">
        <f t="shared" si="3"/>
        <v>0</v>
      </c>
    </row>
    <row r="125" spans="1:14" x14ac:dyDescent="0.25">
      <c r="A125" s="372"/>
      <c r="B125" s="371"/>
      <c r="C125" s="371"/>
      <c r="D125" s="371"/>
      <c r="E125" s="371"/>
      <c r="F125" s="371"/>
      <c r="G125" s="371"/>
      <c r="H125" s="371"/>
      <c r="I125" s="371"/>
      <c r="J125" s="371"/>
      <c r="K125" s="371"/>
      <c r="L125" s="371"/>
      <c r="M125" s="371"/>
      <c r="N125" s="180">
        <f t="shared" si="3"/>
        <v>0</v>
      </c>
    </row>
    <row r="126" spans="1:14" x14ac:dyDescent="0.25">
      <c r="A126" s="372"/>
      <c r="B126" s="371"/>
      <c r="C126" s="371"/>
      <c r="D126" s="371"/>
      <c r="E126" s="371"/>
      <c r="F126" s="371"/>
      <c r="G126" s="371"/>
      <c r="H126" s="371"/>
      <c r="I126" s="371"/>
      <c r="J126" s="371"/>
      <c r="K126" s="371"/>
      <c r="L126" s="371"/>
      <c r="M126" s="371"/>
      <c r="N126" s="180">
        <f t="shared" si="3"/>
        <v>0</v>
      </c>
    </row>
    <row r="127" spans="1:14" x14ac:dyDescent="0.25">
      <c r="A127" s="372"/>
      <c r="B127" s="371"/>
      <c r="C127" s="371"/>
      <c r="D127" s="371"/>
      <c r="E127" s="371"/>
      <c r="F127" s="371"/>
      <c r="G127" s="371"/>
      <c r="H127" s="371"/>
      <c r="I127" s="371"/>
      <c r="J127" s="371"/>
      <c r="K127" s="371"/>
      <c r="L127" s="371"/>
      <c r="M127" s="371"/>
      <c r="N127" s="180">
        <f t="shared" si="3"/>
        <v>0</v>
      </c>
    </row>
    <row r="128" spans="1:14" x14ac:dyDescent="0.25">
      <c r="A128" s="374"/>
      <c r="B128" s="371"/>
      <c r="C128" s="371"/>
      <c r="D128" s="371"/>
      <c r="E128" s="371"/>
      <c r="F128" s="371"/>
      <c r="G128" s="371"/>
      <c r="H128" s="371"/>
      <c r="I128" s="371"/>
      <c r="J128" s="371"/>
      <c r="K128" s="371"/>
      <c r="L128" s="371"/>
      <c r="M128" s="371"/>
      <c r="N128" s="180">
        <f t="shared" si="3"/>
        <v>0</v>
      </c>
    </row>
    <row r="129" spans="1:14" x14ac:dyDescent="0.25">
      <c r="A129" s="374"/>
      <c r="B129" s="371"/>
      <c r="C129" s="371"/>
      <c r="D129" s="371"/>
      <c r="E129" s="371"/>
      <c r="F129" s="371"/>
      <c r="G129" s="371"/>
      <c r="H129" s="371"/>
      <c r="I129" s="371"/>
      <c r="J129" s="371"/>
      <c r="K129" s="371"/>
      <c r="L129" s="371"/>
      <c r="M129" s="371"/>
      <c r="N129" s="180">
        <f t="shared" si="3"/>
        <v>0</v>
      </c>
    </row>
    <row r="130" spans="1:14" x14ac:dyDescent="0.25">
      <c r="A130" s="374"/>
      <c r="B130" s="371"/>
      <c r="C130" s="371"/>
      <c r="D130" s="371"/>
      <c r="E130" s="371"/>
      <c r="F130" s="371"/>
      <c r="G130" s="371"/>
      <c r="H130" s="371"/>
      <c r="I130" s="371"/>
      <c r="J130" s="371"/>
      <c r="K130" s="371"/>
      <c r="L130" s="371"/>
      <c r="M130" s="371"/>
      <c r="N130" s="180">
        <f t="shared" si="3"/>
        <v>0</v>
      </c>
    </row>
    <row r="131" spans="1:14" x14ac:dyDescent="0.25">
      <c r="A131" s="374"/>
      <c r="B131" s="371"/>
      <c r="C131" s="371"/>
      <c r="D131" s="371"/>
      <c r="E131" s="371"/>
      <c r="F131" s="371"/>
      <c r="G131" s="371"/>
      <c r="H131" s="371"/>
      <c r="I131" s="371"/>
      <c r="J131" s="371"/>
      <c r="K131" s="371"/>
      <c r="L131" s="371"/>
      <c r="M131" s="371"/>
      <c r="N131" s="180">
        <f t="shared" si="3"/>
        <v>0</v>
      </c>
    </row>
    <row r="132" spans="1:14" x14ac:dyDescent="0.25">
      <c r="A132" s="374"/>
      <c r="B132" s="371"/>
      <c r="C132" s="371"/>
      <c r="D132" s="371"/>
      <c r="E132" s="371"/>
      <c r="F132" s="371"/>
      <c r="G132" s="371"/>
      <c r="H132" s="371"/>
      <c r="I132" s="371"/>
      <c r="J132" s="371"/>
      <c r="K132" s="371"/>
      <c r="L132" s="371"/>
      <c r="M132" s="371"/>
      <c r="N132" s="180">
        <f t="shared" si="3"/>
        <v>0</v>
      </c>
    </row>
    <row r="133" spans="1:14" x14ac:dyDescent="0.25">
      <c r="A133" s="374"/>
      <c r="B133" s="371"/>
      <c r="C133" s="371"/>
      <c r="D133" s="371"/>
      <c r="E133" s="371"/>
      <c r="F133" s="371"/>
      <c r="G133" s="371"/>
      <c r="H133" s="371"/>
      <c r="I133" s="371"/>
      <c r="J133" s="371"/>
      <c r="K133" s="371"/>
      <c r="L133" s="371"/>
      <c r="M133" s="371"/>
      <c r="N133" s="180">
        <f t="shared" si="3"/>
        <v>0</v>
      </c>
    </row>
    <row r="134" spans="1:14" x14ac:dyDescent="0.25">
      <c r="A134" s="374"/>
      <c r="B134" s="371"/>
      <c r="C134" s="371"/>
      <c r="D134" s="371"/>
      <c r="E134" s="371"/>
      <c r="F134" s="371"/>
      <c r="G134" s="371"/>
      <c r="H134" s="371"/>
      <c r="I134" s="371"/>
      <c r="J134" s="371"/>
      <c r="K134" s="371"/>
      <c r="L134" s="371"/>
      <c r="M134" s="371"/>
      <c r="N134" s="180">
        <f t="shared" si="3"/>
        <v>0</v>
      </c>
    </row>
    <row r="135" spans="1:14" x14ac:dyDescent="0.25">
      <c r="A135" s="374"/>
      <c r="B135" s="371"/>
      <c r="C135" s="371"/>
      <c r="D135" s="371"/>
      <c r="E135" s="371"/>
      <c r="F135" s="371"/>
      <c r="G135" s="371"/>
      <c r="H135" s="371"/>
      <c r="I135" s="371"/>
      <c r="J135" s="371"/>
      <c r="K135" s="371"/>
      <c r="L135" s="371"/>
      <c r="M135" s="371"/>
      <c r="N135" s="180">
        <f t="shared" si="3"/>
        <v>0</v>
      </c>
    </row>
    <row r="136" spans="1:14" x14ac:dyDescent="0.25">
      <c r="A136" s="374"/>
      <c r="B136" s="371"/>
      <c r="C136" s="371"/>
      <c r="D136" s="371"/>
      <c r="E136" s="371"/>
      <c r="F136" s="371"/>
      <c r="G136" s="371"/>
      <c r="H136" s="371"/>
      <c r="I136" s="371"/>
      <c r="J136" s="371"/>
      <c r="K136" s="371"/>
      <c r="L136" s="371"/>
      <c r="M136" s="371"/>
      <c r="N136" s="180">
        <f t="shared" si="3"/>
        <v>0</v>
      </c>
    </row>
    <row r="137" spans="1:14" x14ac:dyDescent="0.25">
      <c r="A137" s="374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180">
        <f t="shared" si="3"/>
        <v>0</v>
      </c>
    </row>
    <row r="138" spans="1:14" x14ac:dyDescent="0.25">
      <c r="A138" s="374"/>
      <c r="B138" s="371"/>
      <c r="C138" s="371"/>
      <c r="D138" s="371"/>
      <c r="E138" s="371"/>
      <c r="F138" s="371"/>
      <c r="G138" s="371"/>
      <c r="H138" s="371"/>
      <c r="I138" s="371"/>
      <c r="J138" s="371"/>
      <c r="K138" s="371"/>
      <c r="L138" s="371"/>
      <c r="M138" s="371"/>
      <c r="N138" s="180">
        <f t="shared" si="3"/>
        <v>0</v>
      </c>
    </row>
    <row r="139" spans="1:14" x14ac:dyDescent="0.25">
      <c r="A139" s="374"/>
      <c r="B139" s="371"/>
      <c r="C139" s="371"/>
      <c r="D139" s="371"/>
      <c r="E139" s="371"/>
      <c r="F139" s="371"/>
      <c r="G139" s="371"/>
      <c r="H139" s="371"/>
      <c r="I139" s="371"/>
      <c r="J139" s="371"/>
      <c r="K139" s="371"/>
      <c r="L139" s="371"/>
      <c r="M139" s="371"/>
      <c r="N139" s="180">
        <f t="shared" si="3"/>
        <v>0</v>
      </c>
    </row>
    <row r="140" spans="1:14" x14ac:dyDescent="0.25">
      <c r="A140" s="373"/>
      <c r="B140" s="371"/>
      <c r="C140" s="371"/>
      <c r="D140" s="371"/>
      <c r="E140" s="371"/>
      <c r="F140" s="371"/>
      <c r="G140" s="371"/>
      <c r="H140" s="371"/>
      <c r="I140" s="371"/>
      <c r="J140" s="371"/>
      <c r="K140" s="371"/>
      <c r="L140" s="371"/>
      <c r="M140" s="371"/>
      <c r="N140" s="180">
        <f t="shared" si="3"/>
        <v>0</v>
      </c>
    </row>
    <row r="141" spans="1:14" x14ac:dyDescent="0.25">
      <c r="A141" s="374"/>
      <c r="B141" s="371"/>
      <c r="C141" s="371"/>
      <c r="D141" s="371"/>
      <c r="E141" s="371"/>
      <c r="F141" s="371"/>
      <c r="G141" s="371"/>
      <c r="H141" s="371"/>
      <c r="I141" s="371"/>
      <c r="J141" s="371"/>
      <c r="K141" s="371"/>
      <c r="L141" s="371"/>
      <c r="M141" s="371"/>
      <c r="N141" s="180">
        <f t="shared" si="3"/>
        <v>0</v>
      </c>
    </row>
    <row r="142" spans="1:14" x14ac:dyDescent="0.25">
      <c r="A142" s="374"/>
      <c r="B142" s="371"/>
      <c r="C142" s="371"/>
      <c r="D142" s="371"/>
      <c r="E142" s="371"/>
      <c r="F142" s="371"/>
      <c r="G142" s="371"/>
      <c r="H142" s="371"/>
      <c r="I142" s="371"/>
      <c r="J142" s="371"/>
      <c r="K142" s="371"/>
      <c r="L142" s="371"/>
      <c r="M142" s="371"/>
      <c r="N142" s="180">
        <f t="shared" si="3"/>
        <v>0</v>
      </c>
    </row>
    <row r="143" spans="1:14" x14ac:dyDescent="0.25">
      <c r="A143" s="374"/>
      <c r="B143" s="371"/>
      <c r="C143" s="371"/>
      <c r="D143" s="371"/>
      <c r="E143" s="371"/>
      <c r="F143" s="371"/>
      <c r="G143" s="371"/>
      <c r="H143" s="371"/>
      <c r="I143" s="371"/>
      <c r="J143" s="371"/>
      <c r="K143" s="371"/>
      <c r="L143" s="371"/>
      <c r="M143" s="371"/>
      <c r="N143" s="180">
        <f t="shared" si="3"/>
        <v>0</v>
      </c>
    </row>
    <row r="144" spans="1:14" x14ac:dyDescent="0.25">
      <c r="A144" s="375"/>
      <c r="B144" s="371"/>
      <c r="C144" s="371"/>
      <c r="D144" s="371"/>
      <c r="E144" s="371"/>
      <c r="F144" s="371"/>
      <c r="G144" s="371"/>
      <c r="H144" s="371"/>
      <c r="I144" s="371"/>
      <c r="J144" s="371"/>
      <c r="K144" s="371"/>
      <c r="L144" s="371"/>
      <c r="M144" s="371"/>
      <c r="N144" s="180">
        <f t="shared" si="3"/>
        <v>0</v>
      </c>
    </row>
    <row r="145" spans="1:14" x14ac:dyDescent="0.25">
      <c r="A145" s="376"/>
      <c r="B145" s="371"/>
      <c r="C145" s="371"/>
      <c r="D145" s="371"/>
      <c r="E145" s="371"/>
      <c r="F145" s="371"/>
      <c r="G145" s="371"/>
      <c r="H145" s="371"/>
      <c r="I145" s="371"/>
      <c r="J145" s="371"/>
      <c r="K145" s="371"/>
      <c r="L145" s="371"/>
      <c r="M145" s="371"/>
      <c r="N145" s="180">
        <f t="shared" si="3"/>
        <v>0</v>
      </c>
    </row>
    <row r="146" spans="1:14" x14ac:dyDescent="0.25">
      <c r="A146" s="376"/>
      <c r="B146" s="371"/>
      <c r="C146" s="371"/>
      <c r="D146" s="371"/>
      <c r="E146" s="371"/>
      <c r="F146" s="371"/>
      <c r="G146" s="371"/>
      <c r="H146" s="371"/>
      <c r="I146" s="371"/>
      <c r="J146" s="371"/>
      <c r="K146" s="371"/>
      <c r="L146" s="371"/>
      <c r="M146" s="371"/>
      <c r="N146" s="180">
        <f t="shared" si="3"/>
        <v>0</v>
      </c>
    </row>
    <row r="147" spans="1:14" x14ac:dyDescent="0.25">
      <c r="A147" s="383"/>
      <c r="B147" s="371"/>
      <c r="C147" s="371"/>
      <c r="D147" s="371"/>
      <c r="E147" s="371"/>
      <c r="F147" s="371"/>
      <c r="G147" s="371"/>
      <c r="H147" s="371"/>
      <c r="I147" s="371"/>
      <c r="J147" s="371"/>
      <c r="K147" s="371"/>
      <c r="L147" s="371"/>
      <c r="M147" s="371"/>
      <c r="N147" s="180"/>
    </row>
    <row r="148" spans="1:14" x14ac:dyDescent="0.25">
      <c r="A148" s="376"/>
      <c r="B148" s="371"/>
      <c r="C148" s="371"/>
      <c r="D148" s="371"/>
      <c r="E148" s="371"/>
      <c r="F148" s="371"/>
      <c r="G148" s="371"/>
      <c r="H148" s="371"/>
      <c r="I148" s="371"/>
      <c r="J148" s="371"/>
      <c r="K148" s="371"/>
      <c r="L148" s="371"/>
      <c r="M148" s="371"/>
      <c r="N148" s="180">
        <f t="shared" si="3"/>
        <v>0</v>
      </c>
    </row>
    <row r="149" spans="1:14" x14ac:dyDescent="0.25">
      <c r="A149" s="133" t="s">
        <v>90</v>
      </c>
      <c r="B149" s="185">
        <f>SUM(B1:B148)</f>
        <v>147132</v>
      </c>
      <c r="C149" s="185">
        <f t="shared" ref="C149:H149" si="4">SUM(C1:C107)</f>
        <v>95017.59</v>
      </c>
      <c r="D149" s="185">
        <f t="shared" si="4"/>
        <v>0</v>
      </c>
      <c r="E149" s="185">
        <f>SUM(E1:E107)</f>
        <v>0</v>
      </c>
      <c r="F149" s="185">
        <f t="shared" si="4"/>
        <v>0</v>
      </c>
      <c r="G149" s="185">
        <f t="shared" si="4"/>
        <v>0</v>
      </c>
      <c r="H149" s="185">
        <f t="shared" si="4"/>
        <v>0</v>
      </c>
      <c r="I149" s="185">
        <f>SUM(I1:I113)</f>
        <v>0</v>
      </c>
      <c r="J149" s="185">
        <f>SUM(J1:J117)</f>
        <v>0</v>
      </c>
      <c r="K149" s="185">
        <f>SUM(K3:K127)</f>
        <v>0</v>
      </c>
      <c r="L149" s="185">
        <f>SUM(L1:L143)</f>
        <v>0</v>
      </c>
      <c r="M149" s="185">
        <f>SUM(M1:M148)</f>
        <v>0</v>
      </c>
      <c r="N149" s="154">
        <f>SUM(N1:N148)</f>
        <v>242149.58999999997</v>
      </c>
    </row>
    <row r="150" spans="1:14" x14ac:dyDescent="0.25">
      <c r="N150" s="95">
        <f>B149+C149+D149+E149+F149+G149+H149+I149+J149+K149+L149+M149</f>
        <v>242149.59</v>
      </c>
    </row>
  </sheetData>
  <autoFilter ref="A1:A150"/>
  <phoneticPr fontId="28" type="noConversion"/>
  <pageMargins left="0.7" right="0.7" top="0.75" bottom="0.75" header="0.3" footer="0.3"/>
  <pageSetup paperSize="9" scale="71" firstPageNumber="42949672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N12"/>
  <sheetViews>
    <sheetView workbookViewId="0">
      <selection activeCell="C5" sqref="C5"/>
    </sheetView>
  </sheetViews>
  <sheetFormatPr defaultRowHeight="15" x14ac:dyDescent="0.25"/>
  <cols>
    <col min="1" max="1" width="29.85546875" bestFit="1" customWidth="1"/>
    <col min="2" max="2" width="11.5703125" style="1" customWidth="1"/>
    <col min="3" max="3" width="10.140625" style="1" customWidth="1"/>
    <col min="4" max="4" width="8.140625" style="1" customWidth="1"/>
    <col min="5" max="5" width="8.28515625" style="1" customWidth="1"/>
    <col min="6" max="6" width="8.42578125" style="1" customWidth="1"/>
    <col min="7" max="8" width="9.140625" style="1"/>
    <col min="9" max="9" width="8.140625" style="1" customWidth="1"/>
    <col min="10" max="10" width="8.28515625" style="1" customWidth="1"/>
    <col min="11" max="11" width="9.28515625" style="1" bestFit="1" customWidth="1"/>
    <col min="12" max="13" width="9.140625" style="1"/>
    <col min="14" max="14" width="11.85546875" style="1" bestFit="1" customWidth="1"/>
  </cols>
  <sheetData>
    <row r="1" spans="1:14" x14ac:dyDescent="0.25">
      <c r="A1" s="155" t="s">
        <v>29</v>
      </c>
      <c r="B1" s="135" t="str">
        <f>'ВСЕ затраты'!B1</f>
        <v>2025-2026гг.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9"/>
    </row>
    <row r="2" spans="1:14" x14ac:dyDescent="0.25">
      <c r="A2" s="156"/>
      <c r="B2" s="147" t="s">
        <v>9</v>
      </c>
      <c r="C2" s="138" t="s">
        <v>14</v>
      </c>
      <c r="D2" s="140" t="s">
        <v>15</v>
      </c>
      <c r="E2" s="138" t="s">
        <v>16</v>
      </c>
      <c r="F2" s="138" t="s">
        <v>17</v>
      </c>
      <c r="G2" s="138" t="s">
        <v>18</v>
      </c>
      <c r="H2" s="138" t="s">
        <v>19</v>
      </c>
      <c r="I2" s="138" t="s">
        <v>4</v>
      </c>
      <c r="J2" s="138" t="s">
        <v>5</v>
      </c>
      <c r="K2" s="138" t="s">
        <v>6</v>
      </c>
      <c r="L2" s="138" t="s">
        <v>7</v>
      </c>
      <c r="M2" s="138" t="s">
        <v>8</v>
      </c>
      <c r="N2" s="138"/>
    </row>
    <row r="3" spans="1:14" x14ac:dyDescent="0.25">
      <c r="A3" s="152" t="s">
        <v>139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80">
        <f>SUM(B3:M3)</f>
        <v>0</v>
      </c>
    </row>
    <row r="4" spans="1:14" x14ac:dyDescent="0.25">
      <c r="A4" s="152" t="s">
        <v>94</v>
      </c>
      <c r="B4" s="178"/>
      <c r="C4" s="178">
        <v>14389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80">
        <f t="shared" ref="N4:N6" si="0">SUM(B4:M4)</f>
        <v>14389</v>
      </c>
    </row>
    <row r="5" spans="1:14" x14ac:dyDescent="0.25">
      <c r="A5" s="157" t="s">
        <v>95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80">
        <f t="shared" si="0"/>
        <v>0</v>
      </c>
    </row>
    <row r="6" spans="1:14" x14ac:dyDescent="0.25">
      <c r="A6" s="152" t="s">
        <v>110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80">
        <f t="shared" si="0"/>
        <v>0</v>
      </c>
    </row>
    <row r="7" spans="1:14" x14ac:dyDescent="0.25">
      <c r="A7" s="152" t="s">
        <v>125</v>
      </c>
      <c r="B7" s="178"/>
      <c r="C7" s="178"/>
      <c r="D7" s="178"/>
      <c r="E7" s="178"/>
      <c r="F7" s="178"/>
      <c r="G7" s="178"/>
      <c r="H7" s="178"/>
      <c r="I7" s="178"/>
      <c r="J7" s="178"/>
      <c r="K7" s="196"/>
      <c r="L7" s="178"/>
      <c r="M7" s="178"/>
      <c r="N7" s="180">
        <f>SUM(B7:M7)</f>
        <v>0</v>
      </c>
    </row>
    <row r="8" spans="1:14" x14ac:dyDescent="0.25">
      <c r="A8" s="20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0"/>
    </row>
    <row r="10" spans="1:14" x14ac:dyDescent="0.25">
      <c r="A10" s="158" t="s">
        <v>90</v>
      </c>
      <c r="B10" s="159">
        <f t="shared" ref="B10:H10" si="1">SUM(B3:B8)</f>
        <v>0</v>
      </c>
      <c r="C10" s="159">
        <f t="shared" si="1"/>
        <v>14389</v>
      </c>
      <c r="D10" s="159">
        <f t="shared" si="1"/>
        <v>0</v>
      </c>
      <c r="E10" s="159">
        <f t="shared" si="1"/>
        <v>0</v>
      </c>
      <c r="F10" s="159">
        <f t="shared" si="1"/>
        <v>0</v>
      </c>
      <c r="G10" s="159">
        <f t="shared" si="1"/>
        <v>0</v>
      </c>
      <c r="H10" s="159">
        <f t="shared" si="1"/>
        <v>0</v>
      </c>
      <c r="I10" s="159">
        <f t="shared" ref="I10:M10" si="2">SUM(I3:I8)</f>
        <v>0</v>
      </c>
      <c r="J10" s="159">
        <f t="shared" si="2"/>
        <v>0</v>
      </c>
      <c r="K10" s="159">
        <f t="shared" si="2"/>
        <v>0</v>
      </c>
      <c r="L10" s="159">
        <f>SUM(L3:L8)</f>
        <v>0</v>
      </c>
      <c r="M10" s="159">
        <f t="shared" si="2"/>
        <v>0</v>
      </c>
      <c r="N10" s="159">
        <f>SUM(N3:N8)</f>
        <v>14389</v>
      </c>
    </row>
    <row r="11" spans="1:14" x14ac:dyDescent="0.25">
      <c r="N11" s="160">
        <f>+B10+C10+M10</f>
        <v>14389</v>
      </c>
    </row>
    <row r="12" spans="1:14" x14ac:dyDescent="0.25">
      <c r="N12" s="160">
        <f>SUM(B10:M10)-N10</f>
        <v>0</v>
      </c>
    </row>
  </sheetData>
  <phoneticPr fontId="28" type="noConversion"/>
  <pageMargins left="0.25" right="0.25" top="0.75" bottom="0.75" header="0.3" footer="0.3"/>
  <pageSetup paperSize="9" scale="94" firstPageNumber="42949672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3"/>
  <sheetViews>
    <sheetView workbookViewId="0">
      <selection activeCell="C5" sqref="C5"/>
    </sheetView>
  </sheetViews>
  <sheetFormatPr defaultRowHeight="15" x14ac:dyDescent="0.25"/>
  <cols>
    <col min="1" max="1" width="19.5703125" bestFit="1" customWidth="1"/>
    <col min="2" max="2" width="11.5703125" style="1" bestFit="1" customWidth="1"/>
    <col min="3" max="3" width="9.28515625" style="1" bestFit="1" customWidth="1"/>
    <col min="4" max="5" width="8.28515625" style="1" bestFit="1" customWidth="1"/>
    <col min="6" max="6" width="9.28515625" style="1" customWidth="1"/>
    <col min="7" max="7" width="9.28515625" style="1" bestFit="1" customWidth="1"/>
    <col min="8" max="10" width="8.28515625" style="1" bestFit="1" customWidth="1"/>
    <col min="11" max="12" width="9.28515625" style="1" bestFit="1" customWidth="1"/>
    <col min="13" max="13" width="8.28515625" style="1" bestFit="1" customWidth="1"/>
    <col min="14" max="14" width="12.85546875" style="1" bestFit="1" customWidth="1"/>
  </cols>
  <sheetData>
    <row r="1" spans="1:14" x14ac:dyDescent="0.25">
      <c r="A1" s="155" t="s">
        <v>30</v>
      </c>
      <c r="B1" s="135" t="str">
        <f>'ВСЕ затраты'!B1</f>
        <v>2025-2026гг.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9"/>
    </row>
    <row r="2" spans="1:14" x14ac:dyDescent="0.25">
      <c r="A2" s="156"/>
      <c r="B2" s="138" t="s">
        <v>9</v>
      </c>
      <c r="C2" s="138" t="s">
        <v>14</v>
      </c>
      <c r="D2" s="140" t="s">
        <v>15</v>
      </c>
      <c r="E2" s="138" t="s">
        <v>16</v>
      </c>
      <c r="F2" s="138" t="s">
        <v>17</v>
      </c>
      <c r="G2" s="138" t="s">
        <v>18</v>
      </c>
      <c r="H2" s="138" t="s">
        <v>19</v>
      </c>
      <c r="I2" s="138" t="s">
        <v>4</v>
      </c>
      <c r="J2" s="138" t="s">
        <v>5</v>
      </c>
      <c r="K2" s="138" t="s">
        <v>6</v>
      </c>
      <c r="L2" s="138" t="s">
        <v>7</v>
      </c>
      <c r="M2" s="138" t="s">
        <v>8</v>
      </c>
      <c r="N2" s="138"/>
    </row>
    <row r="3" spans="1:14" x14ac:dyDescent="0.25">
      <c r="A3" s="161"/>
      <c r="B3" s="143"/>
      <c r="C3" s="143"/>
      <c r="D3" s="144"/>
      <c r="E3" s="143"/>
      <c r="F3" s="143"/>
      <c r="G3" s="143"/>
      <c r="H3" s="143"/>
      <c r="I3" s="143"/>
      <c r="J3" s="143"/>
      <c r="K3" s="143"/>
      <c r="L3" s="143"/>
      <c r="M3" s="143"/>
      <c r="N3" s="147">
        <f t="shared" ref="N3:N10" si="0">SUM(B3:M3)</f>
        <v>0</v>
      </c>
    </row>
    <row r="4" spans="1:14" x14ac:dyDescent="0.25">
      <c r="A4" s="152" t="s">
        <v>96</v>
      </c>
      <c r="B4" s="178">
        <v>1200</v>
      </c>
      <c r="C4" s="178">
        <v>1200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>
        <f t="shared" si="0"/>
        <v>2400</v>
      </c>
    </row>
    <row r="5" spans="1:14" x14ac:dyDescent="0.25">
      <c r="A5" s="152" t="s">
        <v>97</v>
      </c>
      <c r="B5" s="178">
        <v>5300</v>
      </c>
      <c r="C5" s="178">
        <f>8500+4000</f>
        <v>12500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>
        <f t="shared" si="0"/>
        <v>17800</v>
      </c>
    </row>
    <row r="6" spans="1:14" x14ac:dyDescent="0.25">
      <c r="A6" s="152" t="s">
        <v>98</v>
      </c>
      <c r="B6" s="178">
        <v>1000</v>
      </c>
      <c r="C6" s="178">
        <v>1000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>
        <f t="shared" si="0"/>
        <v>2000</v>
      </c>
    </row>
    <row r="7" spans="1:14" x14ac:dyDescent="0.25">
      <c r="A7" s="152" t="s">
        <v>124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>
        <f t="shared" si="0"/>
        <v>0</v>
      </c>
    </row>
    <row r="8" spans="1:14" x14ac:dyDescent="0.25">
      <c r="A8" s="152" t="s">
        <v>160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>
        <f t="shared" si="0"/>
        <v>0</v>
      </c>
    </row>
    <row r="9" spans="1:14" x14ac:dyDescent="0.25">
      <c r="A9" s="152" t="s">
        <v>163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>
        <f t="shared" si="0"/>
        <v>0</v>
      </c>
    </row>
    <row r="10" spans="1:14" x14ac:dyDescent="0.25">
      <c r="A10" s="152" t="s">
        <v>162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>
        <f t="shared" si="0"/>
        <v>0</v>
      </c>
    </row>
    <row r="11" spans="1:14" x14ac:dyDescent="0.25">
      <c r="A11" s="162" t="s">
        <v>90</v>
      </c>
      <c r="B11" s="159">
        <f t="shared" ref="B11:J11" si="1">SUM(B3:B8)</f>
        <v>7500</v>
      </c>
      <c r="C11" s="159">
        <f t="shared" si="1"/>
        <v>14700</v>
      </c>
      <c r="D11" s="159">
        <f t="shared" si="1"/>
        <v>0</v>
      </c>
      <c r="E11" s="159">
        <f t="shared" si="1"/>
        <v>0</v>
      </c>
      <c r="F11" s="159">
        <f t="shared" si="1"/>
        <v>0</v>
      </c>
      <c r="G11" s="159">
        <f t="shared" si="1"/>
        <v>0</v>
      </c>
      <c r="H11" s="159">
        <f t="shared" si="1"/>
        <v>0</v>
      </c>
      <c r="I11" s="159">
        <f t="shared" si="1"/>
        <v>0</v>
      </c>
      <c r="J11" s="159">
        <f t="shared" si="1"/>
        <v>0</v>
      </c>
      <c r="K11" s="159">
        <f>SUM(K3:K10)</f>
        <v>0</v>
      </c>
      <c r="L11" s="159">
        <f>SUM(L3:L10)</f>
        <v>0</v>
      </c>
      <c r="M11" s="159">
        <f>SUM(M3:M8)</f>
        <v>0</v>
      </c>
      <c r="N11" s="292">
        <f>SUM(N3:N10)</f>
        <v>22200</v>
      </c>
    </row>
    <row r="12" spans="1:14" x14ac:dyDescent="0.25">
      <c r="N12" s="160">
        <f>B11+C11+E11+F11+G11+H11+I11+J11+K11+L11+M11</f>
        <v>22200</v>
      </c>
    </row>
    <row r="13" spans="1:14" x14ac:dyDescent="0.25">
      <c r="N13" s="160"/>
    </row>
  </sheetData>
  <phoneticPr fontId="28" type="noConversion"/>
  <pageMargins left="0.7" right="0.7" top="0.75" bottom="0.75" header="0.3" footer="0.3"/>
  <pageSetup paperSize="9" scale="93" firstPageNumber="42949672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  <pageSetUpPr fitToPage="1"/>
  </sheetPr>
  <dimension ref="A1:N11"/>
  <sheetViews>
    <sheetView workbookViewId="0">
      <selection activeCell="A10" sqref="A10"/>
    </sheetView>
  </sheetViews>
  <sheetFormatPr defaultRowHeight="15" x14ac:dyDescent="0.25"/>
  <cols>
    <col min="1" max="1" width="26.7109375" bestFit="1" customWidth="1"/>
    <col min="2" max="2" width="13.140625" bestFit="1" customWidth="1"/>
    <col min="3" max="3" width="14.5703125" bestFit="1" customWidth="1"/>
    <col min="4" max="4" width="12.85546875" bestFit="1" customWidth="1"/>
    <col min="5" max="5" width="16.7109375" customWidth="1"/>
    <col min="6" max="7" width="14.28515625" customWidth="1"/>
    <col min="8" max="8" width="20.42578125" customWidth="1"/>
    <col min="9" max="10" width="14.5703125" bestFit="1" customWidth="1"/>
    <col min="11" max="11" width="12.85546875" bestFit="1" customWidth="1"/>
    <col min="12" max="12" width="13.140625" bestFit="1" customWidth="1"/>
    <col min="13" max="13" width="12.85546875" bestFit="1" customWidth="1"/>
    <col min="14" max="14" width="15.5703125" bestFit="1" customWidth="1"/>
  </cols>
  <sheetData>
    <row r="1" spans="1:14" x14ac:dyDescent="0.25">
      <c r="A1" s="155" t="s">
        <v>99</v>
      </c>
      <c r="B1" s="135" t="str">
        <f>'ВСЕ затраты'!B1</f>
        <v>2025-2026гг.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56"/>
    </row>
    <row r="2" spans="1:14" x14ac:dyDescent="0.25">
      <c r="A2" s="156"/>
      <c r="B2" s="147" t="s">
        <v>9</v>
      </c>
      <c r="C2" s="147" t="s">
        <v>14</v>
      </c>
      <c r="D2" s="147" t="s">
        <v>15</v>
      </c>
      <c r="E2" s="147" t="s">
        <v>16</v>
      </c>
      <c r="F2" s="147" t="s">
        <v>17</v>
      </c>
      <c r="G2" s="147" t="s">
        <v>18</v>
      </c>
      <c r="H2" s="147" t="s">
        <v>19</v>
      </c>
      <c r="I2" s="147" t="s">
        <v>4</v>
      </c>
      <c r="J2" s="147" t="s">
        <v>5</v>
      </c>
      <c r="K2" s="147" t="s">
        <v>6</v>
      </c>
      <c r="L2" s="147" t="s">
        <v>7</v>
      </c>
      <c r="M2" s="147" t="s">
        <v>8</v>
      </c>
      <c r="N2" s="163" t="s">
        <v>90</v>
      </c>
    </row>
    <row r="3" spans="1:14" ht="25.5" customHeight="1" x14ac:dyDescent="0.25">
      <c r="A3" s="164" t="s">
        <v>100</v>
      </c>
      <c r="B3" s="191">
        <v>859520</v>
      </c>
      <c r="C3" s="191">
        <f>1391743.53+86282+45466+93556-51000-20000-20000</f>
        <v>1526047.53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5">
        <f>SUM(B3:M3)</f>
        <v>2385567.5300000003</v>
      </c>
    </row>
    <row r="4" spans="1:14" x14ac:dyDescent="0.25">
      <c r="A4" s="169" t="s">
        <v>239</v>
      </c>
      <c r="B4" s="192">
        <v>-131200</v>
      </c>
      <c r="C4" s="191">
        <v>-131200</v>
      </c>
      <c r="D4" s="192"/>
      <c r="E4" s="192"/>
      <c r="F4" s="192"/>
      <c r="G4" s="192"/>
      <c r="H4" s="192"/>
      <c r="I4" s="192"/>
      <c r="J4" s="191"/>
      <c r="K4" s="191"/>
      <c r="L4" s="191"/>
      <c r="M4" s="191"/>
      <c r="N4" s="195">
        <f>SUM(B4:M4)</f>
        <v>-262400</v>
      </c>
    </row>
    <row r="5" spans="1:14" x14ac:dyDescent="0.25">
      <c r="A5" s="165"/>
      <c r="B5" s="193"/>
      <c r="C5" s="186"/>
      <c r="D5" s="193"/>
      <c r="E5" s="193"/>
      <c r="F5" s="193"/>
      <c r="G5" s="193"/>
      <c r="H5" s="193"/>
      <c r="I5" s="193"/>
      <c r="J5" s="186"/>
      <c r="K5" s="186"/>
      <c r="L5" s="186"/>
      <c r="M5" s="186"/>
      <c r="N5" s="195"/>
    </row>
    <row r="6" spans="1:14" x14ac:dyDescent="0.25">
      <c r="A6" s="155" t="s">
        <v>90</v>
      </c>
      <c r="B6" s="194">
        <f t="shared" ref="B6:N6" si="0">SUM(B3:B5)</f>
        <v>728320</v>
      </c>
      <c r="C6" s="194">
        <f t="shared" si="0"/>
        <v>1394847.53</v>
      </c>
      <c r="D6" s="194">
        <f t="shared" si="0"/>
        <v>0</v>
      </c>
      <c r="E6" s="194">
        <f t="shared" si="0"/>
        <v>0</v>
      </c>
      <c r="F6" s="194">
        <f t="shared" si="0"/>
        <v>0</v>
      </c>
      <c r="G6" s="194">
        <f t="shared" si="0"/>
        <v>0</v>
      </c>
      <c r="H6" s="194">
        <f t="shared" si="0"/>
        <v>0</v>
      </c>
      <c r="I6" s="194">
        <f t="shared" si="0"/>
        <v>0</v>
      </c>
      <c r="J6" s="194">
        <f t="shared" si="0"/>
        <v>0</v>
      </c>
      <c r="K6" s="194">
        <f>SUM(K3:K5)</f>
        <v>0</v>
      </c>
      <c r="L6" s="194">
        <f t="shared" si="0"/>
        <v>0</v>
      </c>
      <c r="M6" s="194">
        <f>SUM(M3:M5)</f>
        <v>0</v>
      </c>
      <c r="N6" s="194">
        <f t="shared" si="0"/>
        <v>2123167.5300000003</v>
      </c>
    </row>
    <row r="7" spans="1:14" x14ac:dyDescent="0.25">
      <c r="N7" s="377">
        <f>B6+C6+D6+E6+F6+G6+H6+I6+J6+K6+L6+M6</f>
        <v>2123167.5300000003</v>
      </c>
    </row>
    <row r="8" spans="1:14" x14ac:dyDescent="0.25">
      <c r="N8" s="160">
        <f>SUM(B6:M6)-N6</f>
        <v>0</v>
      </c>
    </row>
    <row r="10" spans="1:14" s="167" customFormat="1" ht="15.75" x14ac:dyDescent="0.25">
      <c r="M10" s="147"/>
    </row>
    <row r="11" spans="1:14" ht="18.75" x14ac:dyDescent="0.3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94"/>
    </row>
  </sheetData>
  <phoneticPr fontId="28" type="noConversion"/>
  <pageMargins left="0.7" right="0.7" top="0.75" bottom="0.75" header="0.3" footer="0.3"/>
  <pageSetup paperSize="9" scale="60" firstPageNumber="42949672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8"/>
  <sheetViews>
    <sheetView workbookViewId="0">
      <selection activeCell="A4" sqref="A4"/>
    </sheetView>
  </sheetViews>
  <sheetFormatPr defaultRowHeight="15" x14ac:dyDescent="0.25"/>
  <cols>
    <col min="1" max="1" width="20.28515625" style="1" bestFit="1" customWidth="1"/>
    <col min="2" max="2" width="15.85546875" style="1" customWidth="1"/>
    <col min="3" max="3" width="10.28515625" style="1" bestFit="1" customWidth="1"/>
    <col min="4" max="4" width="12.5703125" style="1" customWidth="1"/>
    <col min="5" max="5" width="12.28515625" style="1" customWidth="1"/>
    <col min="6" max="6" width="13" style="1" customWidth="1"/>
    <col min="7" max="7" width="12.42578125" style="1" customWidth="1"/>
    <col min="8" max="8" width="13.28515625" style="1" customWidth="1"/>
    <col min="9" max="10" width="12.42578125" style="1" customWidth="1"/>
    <col min="11" max="11" width="14.140625" style="1" customWidth="1"/>
    <col min="12" max="12" width="9.42578125" style="1" bestFit="1" customWidth="1"/>
    <col min="13" max="14" width="15.5703125" style="1" bestFit="1" customWidth="1"/>
  </cols>
  <sheetData>
    <row r="1" spans="1:14" x14ac:dyDescent="0.25">
      <c r="A1" s="135" t="s">
        <v>33</v>
      </c>
      <c r="B1" s="135" t="str">
        <f>'ВСЕ затраты'!B1</f>
        <v>2025-2026гг.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9"/>
    </row>
    <row r="2" spans="1:14" x14ac:dyDescent="0.25">
      <c r="A2" s="139"/>
      <c r="B2" s="147" t="s">
        <v>9</v>
      </c>
      <c r="C2" s="138" t="s">
        <v>14</v>
      </c>
      <c r="D2" s="147" t="s">
        <v>15</v>
      </c>
      <c r="E2" s="138" t="s">
        <v>16</v>
      </c>
      <c r="F2" s="147" t="s">
        <v>17</v>
      </c>
      <c r="G2" s="138" t="s">
        <v>18</v>
      </c>
      <c r="H2" s="147" t="s">
        <v>19</v>
      </c>
      <c r="I2" s="138" t="s">
        <v>4</v>
      </c>
      <c r="J2" s="147" t="s">
        <v>5</v>
      </c>
      <c r="K2" s="138" t="s">
        <v>6</v>
      </c>
      <c r="L2" s="147" t="s">
        <v>7</v>
      </c>
      <c r="M2" s="138" t="s">
        <v>8</v>
      </c>
      <c r="N2" s="138"/>
    </row>
    <row r="3" spans="1:14" ht="29.25" customHeight="1" x14ac:dyDescent="0.25">
      <c r="A3" s="169" t="s">
        <v>101</v>
      </c>
      <c r="B3" s="178">
        <v>46000</v>
      </c>
      <c r="C3" s="178">
        <v>51000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>
        <f>SUM(B3:M3)</f>
        <v>97000</v>
      </c>
    </row>
    <row r="4" spans="1:14" x14ac:dyDescent="0.25">
      <c r="A4" s="169" t="s">
        <v>239</v>
      </c>
      <c r="B4" s="178">
        <v>131200</v>
      </c>
      <c r="C4" s="178">
        <v>131200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>
        <f>SUM(B4:M4)</f>
        <v>262400</v>
      </c>
    </row>
    <row r="5" spans="1:14" x14ac:dyDescent="0.25">
      <c r="A5" s="135" t="s">
        <v>90</v>
      </c>
      <c r="B5" s="185">
        <f t="shared" ref="B5:M5" si="0">SUM(B3:B4)</f>
        <v>177200</v>
      </c>
      <c r="C5" s="185">
        <f t="shared" si="0"/>
        <v>182200</v>
      </c>
      <c r="D5" s="185">
        <f t="shared" si="0"/>
        <v>0</v>
      </c>
      <c r="E5" s="185">
        <f t="shared" si="0"/>
        <v>0</v>
      </c>
      <c r="F5" s="185">
        <f t="shared" si="0"/>
        <v>0</v>
      </c>
      <c r="G5" s="185">
        <f t="shared" si="0"/>
        <v>0</v>
      </c>
      <c r="H5" s="185">
        <f t="shared" si="0"/>
        <v>0</v>
      </c>
      <c r="I5" s="185">
        <f t="shared" si="0"/>
        <v>0</v>
      </c>
      <c r="J5" s="185">
        <f t="shared" si="0"/>
        <v>0</v>
      </c>
      <c r="K5" s="185">
        <f t="shared" si="0"/>
        <v>0</v>
      </c>
      <c r="L5" s="185">
        <f t="shared" si="0"/>
        <v>0</v>
      </c>
      <c r="M5" s="185">
        <f t="shared" si="0"/>
        <v>0</v>
      </c>
      <c r="N5" s="185">
        <f>SUM(N3:N4)</f>
        <v>359400</v>
      </c>
    </row>
    <row r="6" spans="1:14" x14ac:dyDescent="0.25">
      <c r="C6" s="170"/>
      <c r="D6" s="170"/>
      <c r="E6" s="170"/>
      <c r="F6" s="170"/>
      <c r="G6" s="170"/>
      <c r="H6" s="170"/>
      <c r="N6" s="378">
        <f>B5+C5+D5+E5+F5+G5+H5+I5+J5+K5+L5+M5</f>
        <v>359400</v>
      </c>
    </row>
    <row r="7" spans="1:14" x14ac:dyDescent="0.25">
      <c r="N7" s="160">
        <f>SUM(B5:M5)-N5</f>
        <v>0</v>
      </c>
    </row>
    <row r="8" spans="1:14" x14ac:dyDescent="0.25">
      <c r="A8" s="171"/>
    </row>
  </sheetData>
  <phoneticPr fontId="28" type="noConversion"/>
  <pageMargins left="0.7" right="0.7" top="0.75" bottom="0.75" header="0.3" footer="0.3"/>
  <pageSetup paperSize="9" scale="69" firstPageNumber="42949672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14"/>
  <sheetViews>
    <sheetView workbookViewId="0">
      <selection activeCell="C3" sqref="C3"/>
    </sheetView>
  </sheetViews>
  <sheetFormatPr defaultRowHeight="15" x14ac:dyDescent="0.25"/>
  <cols>
    <col min="1" max="1" width="28.28515625" bestFit="1" customWidth="1"/>
    <col min="2" max="2" width="11.5703125" bestFit="1" customWidth="1"/>
    <col min="3" max="5" width="10.28515625" bestFit="1" customWidth="1"/>
    <col min="6" max="6" width="12.7109375" customWidth="1"/>
    <col min="7" max="7" width="10.7109375" customWidth="1"/>
    <col min="8" max="10" width="10.28515625" bestFit="1" customWidth="1"/>
    <col min="11" max="11" width="10.85546875" customWidth="1"/>
    <col min="12" max="13" width="10.28515625" bestFit="1" customWidth="1"/>
    <col min="14" max="14" width="11.85546875" bestFit="1" customWidth="1"/>
  </cols>
  <sheetData>
    <row r="1" spans="1:14" x14ac:dyDescent="0.25">
      <c r="A1" s="155" t="s">
        <v>34</v>
      </c>
      <c r="B1" s="135" t="str">
        <f>'ВСЕ затраты'!B1</f>
        <v>2025-2026гг.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56"/>
    </row>
    <row r="2" spans="1:14" x14ac:dyDescent="0.25">
      <c r="A2" s="156"/>
      <c r="B2" s="140" t="s">
        <v>9</v>
      </c>
      <c r="C2" s="138" t="s">
        <v>14</v>
      </c>
      <c r="D2" s="140" t="s">
        <v>15</v>
      </c>
      <c r="E2" s="138" t="s">
        <v>16</v>
      </c>
      <c r="F2" s="140" t="s">
        <v>17</v>
      </c>
      <c r="G2" s="138" t="s">
        <v>18</v>
      </c>
      <c r="H2" s="140" t="s">
        <v>19</v>
      </c>
      <c r="I2" s="138" t="s">
        <v>4</v>
      </c>
      <c r="J2" s="140" t="s">
        <v>5</v>
      </c>
      <c r="K2" s="138" t="s">
        <v>6</v>
      </c>
      <c r="L2" s="140" t="s">
        <v>7</v>
      </c>
      <c r="M2" s="138" t="s">
        <v>8</v>
      </c>
      <c r="N2" s="138"/>
    </row>
    <row r="3" spans="1:14" x14ac:dyDescent="0.25">
      <c r="A3" s="152" t="s">
        <v>102</v>
      </c>
      <c r="B3" s="178">
        <v>339561</v>
      </c>
      <c r="C3" s="178">
        <f>310964.05+305518.64+2036.79+2073.1</f>
        <v>620592.57999999996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80">
        <f>SUM(B3:M3)</f>
        <v>960153.58</v>
      </c>
    </row>
    <row r="4" spans="1:14" x14ac:dyDescent="0.25">
      <c r="A4" s="152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80">
        <f>SUM(B4:M4)</f>
        <v>0</v>
      </c>
    </row>
    <row r="5" spans="1:14" x14ac:dyDescent="0.25">
      <c r="A5" s="152" t="s">
        <v>103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80">
        <f>SUM(B5:M5)</f>
        <v>0</v>
      </c>
    </row>
    <row r="6" spans="1:14" x14ac:dyDescent="0.25">
      <c r="A6" s="155" t="s">
        <v>90</v>
      </c>
      <c r="B6" s="185">
        <f t="shared" ref="B6:N6" si="0">SUM(B3:B5)</f>
        <v>339561</v>
      </c>
      <c r="C6" s="185">
        <f t="shared" si="0"/>
        <v>620592.57999999996</v>
      </c>
      <c r="D6" s="185">
        <f t="shared" si="0"/>
        <v>0</v>
      </c>
      <c r="E6" s="185">
        <f t="shared" si="0"/>
        <v>0</v>
      </c>
      <c r="F6" s="185">
        <f t="shared" si="0"/>
        <v>0</v>
      </c>
      <c r="G6" s="185">
        <f t="shared" si="0"/>
        <v>0</v>
      </c>
      <c r="H6" s="185">
        <f t="shared" si="0"/>
        <v>0</v>
      </c>
      <c r="I6" s="185">
        <f t="shared" si="0"/>
        <v>0</v>
      </c>
      <c r="J6" s="185">
        <f t="shared" si="0"/>
        <v>0</v>
      </c>
      <c r="K6" s="185">
        <f t="shared" si="0"/>
        <v>0</v>
      </c>
      <c r="L6" s="185">
        <f>SUM(L3:L5)</f>
        <v>0</v>
      </c>
      <c r="M6" s="185">
        <f t="shared" si="0"/>
        <v>0</v>
      </c>
      <c r="N6" s="185">
        <f t="shared" si="0"/>
        <v>960153.58</v>
      </c>
    </row>
    <row r="7" spans="1:14" x14ac:dyDescent="0.25">
      <c r="N7" s="379">
        <f>B6+C6+D6+E6+F6+G6+H6+I6+J6+K6+L6+M6</f>
        <v>960153.58</v>
      </c>
    </row>
    <row r="8" spans="1:14" x14ac:dyDescent="0.25">
      <c r="N8" s="160">
        <f>SUM(B6:M6)-N6</f>
        <v>0</v>
      </c>
    </row>
    <row r="9" spans="1:14" ht="15.75" hidden="1" x14ac:dyDescent="0.25">
      <c r="A9" s="425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</row>
    <row r="10" spans="1:14" ht="15.75" hidden="1" x14ac:dyDescent="0.25">
      <c r="A10" s="425"/>
      <c r="B10" s="425"/>
      <c r="C10" s="425"/>
      <c r="D10" s="425"/>
      <c r="E10" s="425"/>
      <c r="F10" s="425"/>
      <c r="G10" s="425"/>
      <c r="H10" s="425"/>
      <c r="I10" s="425"/>
      <c r="J10" s="425"/>
      <c r="K10" s="425"/>
      <c r="L10" s="425"/>
    </row>
    <row r="11" spans="1:14" hidden="1" x14ac:dyDescent="0.25"/>
    <row r="12" spans="1:14" ht="15.75" hidden="1" x14ac:dyDescent="0.25">
      <c r="A12" s="115"/>
      <c r="B12" s="167"/>
      <c r="C12" s="167"/>
      <c r="D12" s="167"/>
      <c r="E12" s="167"/>
      <c r="F12" s="167"/>
      <c r="G12" s="167"/>
      <c r="H12" s="167"/>
      <c r="I12" s="167"/>
      <c r="J12" s="167"/>
      <c r="K12" s="167"/>
    </row>
    <row r="13" spans="1:14" ht="15.75" hidden="1" x14ac:dyDescent="0.25">
      <c r="A13" s="423"/>
      <c r="B13" s="423"/>
      <c r="C13" s="423"/>
      <c r="D13" s="423"/>
      <c r="E13" s="423"/>
      <c r="F13" s="423"/>
      <c r="G13" s="423"/>
      <c r="H13" s="423"/>
      <c r="I13" s="423"/>
      <c r="J13" s="423"/>
      <c r="K13" s="423"/>
      <c r="L13" s="424"/>
    </row>
    <row r="14" spans="1:14" hidden="1" x14ac:dyDescent="0.25"/>
  </sheetData>
  <mergeCells count="3">
    <mergeCell ref="A13:L13"/>
    <mergeCell ref="A9:L9"/>
    <mergeCell ref="A10:L10"/>
  </mergeCells>
  <phoneticPr fontId="28" type="noConversion"/>
  <pageMargins left="0.25" right="0.25" top="0.75" bottom="0.75" header="0.3" footer="0.3"/>
  <pageSetup paperSize="9" scale="84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ВСЕ затраты за 6 мес.</vt:lpstr>
      <vt:lpstr>ВСЕ затраты</vt:lpstr>
      <vt:lpstr>ВСЕ затраты в 2016-2017 гг (2)</vt:lpstr>
      <vt:lpstr>общехоз расходы</vt:lpstr>
      <vt:lpstr>прогр обесп</vt:lpstr>
      <vt:lpstr>связь</vt:lpstr>
      <vt:lpstr>з пл</vt:lpstr>
      <vt:lpstr>премии</vt:lpstr>
      <vt:lpstr>налог с ФОТ</vt:lpstr>
      <vt:lpstr>мусор</vt:lpstr>
      <vt:lpstr>вода</vt:lpstr>
      <vt:lpstr>канализация</vt:lpstr>
      <vt:lpstr>эл.снабж</vt:lpstr>
      <vt:lpstr>спец авто транспорт</vt:lpstr>
      <vt:lpstr>благ-во</vt:lpstr>
      <vt:lpstr>рез фонд</vt:lpstr>
      <vt:lpstr>'ВСЕ затраты'!Область_печати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soglasie1@outlook.com</cp:lastModifiedBy>
  <cp:revision>1</cp:revision>
  <cp:lastPrinted>2025-11-05T14:27:04Z</cp:lastPrinted>
  <dcterms:created xsi:type="dcterms:W3CDTF">2015-11-16T11:04:42Z</dcterms:created>
  <dcterms:modified xsi:type="dcterms:W3CDTF">2026-01-15T09:00:45Z</dcterms:modified>
</cp:coreProperties>
</file>