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.safronov\Documents\Личные\ДНТ\Финансовые документы\"/>
    </mc:Choice>
  </mc:AlternateContent>
  <bookViews>
    <workbookView xWindow="0" yWindow="0" windowWidth="24000" windowHeight="9735"/>
  </bookViews>
  <sheets>
    <sheet name="ВСЕ затраты в 2019-2020 гг" sheetId="1" r:id="rId1"/>
  </sheets>
  <externalReferences>
    <externalReference r:id="rId2"/>
  </externalReferences>
  <definedNames>
    <definedName name="_xlnm.Print_Area" localSheetId="0">'ВСЕ затраты в 2019-2020 гг'!$A$1:$W$43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U5" i="1"/>
  <c r="V5" i="1"/>
  <c r="W5" i="1" s="1"/>
  <c r="U6" i="1"/>
  <c r="W6" i="1"/>
  <c r="G7" i="1"/>
  <c r="U7" i="1"/>
  <c r="V7" i="1"/>
  <c r="W7" i="1"/>
  <c r="U8" i="1"/>
  <c r="W8" i="1"/>
  <c r="U9" i="1"/>
  <c r="W9" i="1"/>
  <c r="G10" i="1"/>
  <c r="I10" i="1"/>
  <c r="U10" i="1" s="1"/>
  <c r="W10" i="1" s="1"/>
  <c r="L10" i="1"/>
  <c r="M10" i="1"/>
  <c r="M11" i="1" s="1"/>
  <c r="M47" i="1" s="1"/>
  <c r="M48" i="1" s="1"/>
  <c r="N10" i="1"/>
  <c r="O10" i="1"/>
  <c r="O11" i="1" s="1"/>
  <c r="O47" i="1" s="1"/>
  <c r="O48" i="1" s="1"/>
  <c r="V10" i="1"/>
  <c r="F11" i="1"/>
  <c r="G11" i="1"/>
  <c r="H11" i="1"/>
  <c r="J11" i="1"/>
  <c r="K11" i="1"/>
  <c r="L11" i="1"/>
  <c r="N11" i="1"/>
  <c r="P11" i="1"/>
  <c r="Q11" i="1"/>
  <c r="R11" i="1"/>
  <c r="S11" i="1"/>
  <c r="T11" i="1"/>
  <c r="V11" i="1"/>
  <c r="G13" i="1"/>
  <c r="I13" i="1"/>
  <c r="J13" i="1"/>
  <c r="K13" i="1"/>
  <c r="L13" i="1"/>
  <c r="M13" i="1"/>
  <c r="O13" i="1"/>
  <c r="P13" i="1"/>
  <c r="Q13" i="1"/>
  <c r="R13" i="1"/>
  <c r="S13" i="1"/>
  <c r="T13" i="1"/>
  <c r="V13" i="1"/>
  <c r="G14" i="1"/>
  <c r="I14" i="1"/>
  <c r="J14" i="1"/>
  <c r="U14" i="1" s="1"/>
  <c r="K14" i="1"/>
  <c r="L14" i="1"/>
  <c r="M14" i="1"/>
  <c r="N14" i="1"/>
  <c r="O14" i="1"/>
  <c r="P14" i="1"/>
  <c r="Q14" i="1"/>
  <c r="R14" i="1"/>
  <c r="S14" i="1"/>
  <c r="T14" i="1"/>
  <c r="V14" i="1"/>
  <c r="W14" i="1" s="1"/>
  <c r="G15" i="1"/>
  <c r="I15" i="1"/>
  <c r="J15" i="1"/>
  <c r="U15" i="1" s="1"/>
  <c r="K15" i="1"/>
  <c r="L15" i="1"/>
  <c r="M15" i="1"/>
  <c r="N15" i="1"/>
  <c r="O15" i="1"/>
  <c r="P15" i="1"/>
  <c r="Q15" i="1"/>
  <c r="R15" i="1"/>
  <c r="S15" i="1"/>
  <c r="T15" i="1"/>
  <c r="V15" i="1"/>
  <c r="W15" i="1" s="1"/>
  <c r="G16" i="1"/>
  <c r="I16" i="1"/>
  <c r="J16" i="1"/>
  <c r="U16" i="1" s="1"/>
  <c r="K16" i="1"/>
  <c r="L16" i="1"/>
  <c r="M16" i="1"/>
  <c r="N16" i="1"/>
  <c r="O16" i="1"/>
  <c r="P16" i="1"/>
  <c r="Q16" i="1"/>
  <c r="R16" i="1"/>
  <c r="S16" i="1"/>
  <c r="T16" i="1"/>
  <c r="V16" i="1"/>
  <c r="W16" i="1" s="1"/>
  <c r="G17" i="1"/>
  <c r="I17" i="1"/>
  <c r="J17" i="1"/>
  <c r="U17" i="1" s="1"/>
  <c r="K17" i="1"/>
  <c r="L17" i="1"/>
  <c r="M17" i="1"/>
  <c r="N17" i="1"/>
  <c r="O17" i="1"/>
  <c r="P17" i="1"/>
  <c r="Q17" i="1"/>
  <c r="R17" i="1"/>
  <c r="S17" i="1"/>
  <c r="T17" i="1"/>
  <c r="V17" i="1"/>
  <c r="W17" i="1" s="1"/>
  <c r="G18" i="1"/>
  <c r="I18" i="1"/>
  <c r="J18" i="1"/>
  <c r="U18" i="1" s="1"/>
  <c r="K18" i="1"/>
  <c r="L18" i="1"/>
  <c r="M18" i="1"/>
  <c r="N18" i="1"/>
  <c r="O18" i="1"/>
  <c r="P18" i="1"/>
  <c r="Q18" i="1"/>
  <c r="R18" i="1"/>
  <c r="S18" i="1"/>
  <c r="T18" i="1"/>
  <c r="V18" i="1"/>
  <c r="W18" i="1" s="1"/>
  <c r="G19" i="1"/>
  <c r="I19" i="1"/>
  <c r="J19" i="1"/>
  <c r="U19" i="1" s="1"/>
  <c r="K19" i="1"/>
  <c r="L19" i="1"/>
  <c r="M19" i="1"/>
  <c r="N19" i="1"/>
  <c r="O19" i="1"/>
  <c r="P19" i="1"/>
  <c r="Q19" i="1"/>
  <c r="R19" i="1"/>
  <c r="S19" i="1"/>
  <c r="T19" i="1"/>
  <c r="V19" i="1"/>
  <c r="W19" i="1" s="1"/>
  <c r="G20" i="1"/>
  <c r="I20" i="1"/>
  <c r="J20" i="1"/>
  <c r="U20" i="1" s="1"/>
  <c r="K20" i="1"/>
  <c r="L20" i="1"/>
  <c r="M20" i="1"/>
  <c r="N20" i="1"/>
  <c r="O20" i="1"/>
  <c r="P20" i="1"/>
  <c r="Q20" i="1"/>
  <c r="R20" i="1"/>
  <c r="S20" i="1"/>
  <c r="T20" i="1"/>
  <c r="V20" i="1"/>
  <c r="W20" i="1" s="1"/>
  <c r="G21" i="1"/>
  <c r="I21" i="1"/>
  <c r="J21" i="1"/>
  <c r="U21" i="1" s="1"/>
  <c r="K21" i="1"/>
  <c r="L21" i="1"/>
  <c r="M21" i="1"/>
  <c r="N21" i="1"/>
  <c r="O21" i="1"/>
  <c r="P21" i="1"/>
  <c r="Q21" i="1"/>
  <c r="R21" i="1"/>
  <c r="S21" i="1"/>
  <c r="T21" i="1"/>
  <c r="V21" i="1"/>
  <c r="W21" i="1" s="1"/>
  <c r="G22" i="1"/>
  <c r="I22" i="1"/>
  <c r="J22" i="1"/>
  <c r="U22" i="1" s="1"/>
  <c r="K22" i="1"/>
  <c r="L22" i="1"/>
  <c r="M22" i="1"/>
  <c r="N22" i="1"/>
  <c r="O22" i="1"/>
  <c r="P22" i="1"/>
  <c r="Q22" i="1"/>
  <c r="R22" i="1"/>
  <c r="S22" i="1"/>
  <c r="T22" i="1"/>
  <c r="V22" i="1"/>
  <c r="W22" i="1" s="1"/>
  <c r="G23" i="1"/>
  <c r="I23" i="1"/>
  <c r="J23" i="1"/>
  <c r="U23" i="1" s="1"/>
  <c r="K23" i="1"/>
  <c r="L23" i="1"/>
  <c r="M23" i="1"/>
  <c r="N23" i="1"/>
  <c r="O23" i="1"/>
  <c r="P23" i="1"/>
  <c r="Q23" i="1"/>
  <c r="R23" i="1"/>
  <c r="S23" i="1"/>
  <c r="T23" i="1"/>
  <c r="V23" i="1"/>
  <c r="W23" i="1" s="1"/>
  <c r="G24" i="1"/>
  <c r="I24" i="1"/>
  <c r="J24" i="1"/>
  <c r="U24" i="1" s="1"/>
  <c r="K24" i="1"/>
  <c r="L24" i="1"/>
  <c r="M24" i="1"/>
  <c r="N24" i="1"/>
  <c r="O24" i="1"/>
  <c r="P24" i="1"/>
  <c r="Q24" i="1"/>
  <c r="R24" i="1"/>
  <c r="S24" i="1"/>
  <c r="T24" i="1"/>
  <c r="V24" i="1"/>
  <c r="W24" i="1" s="1"/>
  <c r="G25" i="1"/>
  <c r="I25" i="1"/>
  <c r="J25" i="1"/>
  <c r="U25" i="1" s="1"/>
  <c r="K25" i="1"/>
  <c r="L25" i="1"/>
  <c r="M25" i="1"/>
  <c r="N25" i="1"/>
  <c r="O25" i="1"/>
  <c r="P25" i="1"/>
  <c r="Q25" i="1"/>
  <c r="R25" i="1"/>
  <c r="S25" i="1"/>
  <c r="T25" i="1"/>
  <c r="V25" i="1"/>
  <c r="W25" i="1" s="1"/>
  <c r="G26" i="1"/>
  <c r="I26" i="1"/>
  <c r="J26" i="1"/>
  <c r="U26" i="1" s="1"/>
  <c r="K26" i="1"/>
  <c r="L26" i="1"/>
  <c r="M26" i="1"/>
  <c r="N26" i="1"/>
  <c r="O26" i="1"/>
  <c r="P26" i="1"/>
  <c r="Q26" i="1"/>
  <c r="R26" i="1"/>
  <c r="S26" i="1"/>
  <c r="T26" i="1"/>
  <c r="V26" i="1"/>
  <c r="W26" i="1" s="1"/>
  <c r="G27" i="1"/>
  <c r="I27" i="1"/>
  <c r="J27" i="1"/>
  <c r="U27" i="1" s="1"/>
  <c r="K27" i="1"/>
  <c r="L27" i="1"/>
  <c r="M27" i="1"/>
  <c r="N27" i="1"/>
  <c r="O27" i="1"/>
  <c r="P27" i="1"/>
  <c r="Q27" i="1"/>
  <c r="R27" i="1"/>
  <c r="S27" i="1"/>
  <c r="T27" i="1"/>
  <c r="V27" i="1"/>
  <c r="W27" i="1" s="1"/>
  <c r="G28" i="1"/>
  <c r="I28" i="1"/>
  <c r="J28" i="1"/>
  <c r="U28" i="1" s="1"/>
  <c r="K28" i="1"/>
  <c r="L28" i="1"/>
  <c r="M28" i="1"/>
  <c r="N28" i="1"/>
  <c r="O28" i="1"/>
  <c r="P28" i="1"/>
  <c r="Q28" i="1"/>
  <c r="R28" i="1"/>
  <c r="S28" i="1"/>
  <c r="T28" i="1"/>
  <c r="V28" i="1"/>
  <c r="W28" i="1" s="1"/>
  <c r="G29" i="1"/>
  <c r="I29" i="1"/>
  <c r="J29" i="1"/>
  <c r="U29" i="1" s="1"/>
  <c r="K29" i="1"/>
  <c r="L29" i="1"/>
  <c r="M29" i="1"/>
  <c r="N29" i="1"/>
  <c r="O29" i="1"/>
  <c r="P29" i="1"/>
  <c r="Q29" i="1"/>
  <c r="R29" i="1"/>
  <c r="S29" i="1"/>
  <c r="T29" i="1"/>
  <c r="V29" i="1"/>
  <c r="W29" i="1" s="1"/>
  <c r="I30" i="1"/>
  <c r="U30" i="1" s="1"/>
  <c r="J30" i="1"/>
  <c r="K30" i="1"/>
  <c r="L30" i="1"/>
  <c r="M30" i="1"/>
  <c r="V30" i="1"/>
  <c r="W30" i="1" s="1"/>
  <c r="I31" i="1"/>
  <c r="U31" i="1" s="1"/>
  <c r="V31" i="1"/>
  <c r="W31" i="1" s="1"/>
  <c r="J32" i="1"/>
  <c r="U32" i="1" s="1"/>
  <c r="V32" i="1"/>
  <c r="W32" i="1" s="1"/>
  <c r="G33" i="1"/>
  <c r="G34" i="1" s="1"/>
  <c r="I33" i="1"/>
  <c r="J33" i="1"/>
  <c r="U33" i="1" s="1"/>
  <c r="K33" i="1"/>
  <c r="L33" i="1"/>
  <c r="M33" i="1"/>
  <c r="N33" i="1"/>
  <c r="O33" i="1"/>
  <c r="P33" i="1"/>
  <c r="Q33" i="1"/>
  <c r="R33" i="1"/>
  <c r="S33" i="1"/>
  <c r="T33" i="1"/>
  <c r="V33" i="1"/>
  <c r="W33" i="1" s="1"/>
  <c r="F34" i="1"/>
  <c r="I34" i="1"/>
  <c r="K34" i="1"/>
  <c r="L34" i="1"/>
  <c r="M34" i="1"/>
  <c r="O34" i="1"/>
  <c r="P34" i="1"/>
  <c r="Q34" i="1"/>
  <c r="R34" i="1"/>
  <c r="S34" i="1"/>
  <c r="T34" i="1"/>
  <c r="V34" i="1"/>
  <c r="I36" i="1"/>
  <c r="J36" i="1"/>
  <c r="U36" i="1" s="1"/>
  <c r="K36" i="1"/>
  <c r="L36" i="1"/>
  <c r="M36" i="1"/>
  <c r="N36" i="1"/>
  <c r="O36" i="1"/>
  <c r="P36" i="1"/>
  <c r="Q36" i="1"/>
  <c r="R36" i="1"/>
  <c r="U37" i="1"/>
  <c r="W37" i="1"/>
  <c r="U38" i="1"/>
  <c r="W38" i="1"/>
  <c r="I39" i="1"/>
  <c r="J39" i="1"/>
  <c r="M39" i="1"/>
  <c r="U39" i="1"/>
  <c r="W39" i="1" s="1"/>
  <c r="U40" i="1"/>
  <c r="W40" i="1" s="1"/>
  <c r="U41" i="1"/>
  <c r="W41" i="1" s="1"/>
  <c r="U42" i="1"/>
  <c r="W42" i="1" s="1"/>
  <c r="F43" i="1"/>
  <c r="I43" i="1"/>
  <c r="J43" i="1"/>
  <c r="K43" i="1"/>
  <c r="L43" i="1"/>
  <c r="L47" i="1" s="1"/>
  <c r="L48" i="1" s="1"/>
  <c r="M43" i="1"/>
  <c r="N43" i="1"/>
  <c r="O43" i="1"/>
  <c r="P43" i="1"/>
  <c r="Q43" i="1"/>
  <c r="R43" i="1"/>
  <c r="S43" i="1"/>
  <c r="T43" i="1"/>
  <c r="I46" i="1"/>
  <c r="J46" i="1"/>
  <c r="K46" i="1"/>
  <c r="L46" i="1"/>
  <c r="M46" i="1"/>
  <c r="N46" i="1"/>
  <c r="O46" i="1"/>
  <c r="K47" i="1"/>
  <c r="K48" i="1" s="1"/>
  <c r="W36" i="1" l="1"/>
  <c r="W43" i="1" s="1"/>
  <c r="U43" i="1"/>
  <c r="J34" i="1"/>
  <c r="J47" i="1" s="1"/>
  <c r="J48" i="1" s="1"/>
  <c r="I11" i="1"/>
  <c r="I47" i="1" l="1"/>
  <c r="I48" i="1" s="1"/>
  <c r="I50" i="1" s="1"/>
  <c r="U11" i="1"/>
  <c r="W11" i="1" s="1"/>
  <c r="N13" i="1" l="1"/>
  <c r="N34" i="1" l="1"/>
  <c r="N47" i="1" s="1"/>
  <c r="N48" i="1" s="1"/>
  <c r="U13" i="1"/>
  <c r="U34" i="1" l="1"/>
  <c r="W13" i="1"/>
  <c r="W34" i="1" s="1"/>
</calcChain>
</file>

<file path=xl/comments1.xml><?xml version="1.0" encoding="utf-8"?>
<comments xmlns="http://schemas.openxmlformats.org/spreadsheetml/2006/main">
  <authors>
    <author>soglasie1@outlook.com</author>
  </authors>
  <commentLis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НДФЛ</t>
        </r>
      </text>
    </comment>
    <comment ref="N40" authorId="0" shapeId="0">
      <text>
        <r>
          <rPr>
            <b/>
            <sz val="9"/>
            <color indexed="81"/>
            <rFont val="Tahoma"/>
            <charset val="1"/>
          </rPr>
          <t>soglasie1@outlook.com:</t>
        </r>
        <r>
          <rPr>
            <sz val="9"/>
            <color indexed="81"/>
            <rFont val="Tahoma"/>
            <charset val="1"/>
          </rPr>
          <t xml:space="preserve">
внесение изменений в ЕГРН границ. Зем.участка)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оборуд управл 3 насосами</t>
        </r>
      </text>
    </comment>
    <comment ref="L41" authorId="0" shapeId="0">
      <text>
        <r>
          <rPr>
            <b/>
            <sz val="9"/>
            <color indexed="81"/>
            <rFont val="Tahoma"/>
            <charset val="1"/>
          </rPr>
          <t>soglasie1@outlook.com:</t>
        </r>
        <r>
          <rPr>
            <sz val="9"/>
            <color indexed="81"/>
            <rFont val="Tahoma"/>
            <charset val="1"/>
          </rPr>
          <t xml:space="preserve">
станция управления насосами</t>
        </r>
      </text>
    </comment>
    <comment ref="N41" authorId="0" shapeId="0">
      <text>
        <r>
          <rPr>
            <b/>
            <sz val="9"/>
            <color indexed="81"/>
            <rFont val="Tahoma"/>
            <charset val="1"/>
          </rPr>
          <t>soglasie1@outlook.com:</t>
        </r>
        <r>
          <rPr>
            <sz val="9"/>
            <color indexed="81"/>
            <rFont val="Tahoma"/>
            <charset val="1"/>
          </rPr>
          <t xml:space="preserve">
шкаф управления насосами</t>
        </r>
      </text>
    </comment>
  </commentList>
</comments>
</file>

<file path=xl/sharedStrings.xml><?xml version="1.0" encoding="utf-8"?>
<sst xmlns="http://schemas.openxmlformats.org/spreadsheetml/2006/main" count="91" uniqueCount="67">
  <si>
    <t>фортис</t>
  </si>
  <si>
    <t>расходы прошли, но списаны с р/с 01/07/19</t>
  </si>
  <si>
    <t>разница</t>
  </si>
  <si>
    <t>расчетное</t>
  </si>
  <si>
    <t>на счетах на конец месяца</t>
  </si>
  <si>
    <t>х</t>
  </si>
  <si>
    <t>Перенос шлагбаума</t>
  </si>
  <si>
    <t>Насосный узел</t>
  </si>
  <si>
    <t>Оформление земли</t>
  </si>
  <si>
    <t>Лицензирование скважин</t>
  </si>
  <si>
    <t>Лопата и щетка для трактора</t>
  </si>
  <si>
    <t>Электродробилка</t>
  </si>
  <si>
    <t>Ремонт водопровода</t>
  </si>
  <si>
    <t xml:space="preserve">     ИТОГО РАСХОДЫ</t>
  </si>
  <si>
    <t>Резервный фонд 5%</t>
  </si>
  <si>
    <t>Социальн. налоги с Фонда поощр. ПП</t>
  </si>
  <si>
    <t>Фонд поощрения ПП и ревизора</t>
  </si>
  <si>
    <t>Ямочный ремонт дорог</t>
  </si>
  <si>
    <t>Благоустройство территории</t>
  </si>
  <si>
    <t>Содержание дорог и уборка территор.</t>
  </si>
  <si>
    <t>Э/энергия на общие нужды</t>
  </si>
  <si>
    <t>Содержание сетей электроснабжения</t>
  </si>
  <si>
    <t>Ремонт сетей канализации и О/С</t>
  </si>
  <si>
    <t>Содерж. сетей канализ. и ремонт ОС</t>
  </si>
  <si>
    <t>Содержание сетей водоснабжения</t>
  </si>
  <si>
    <t>Содержание газового оборудования</t>
  </si>
  <si>
    <t>Содержание охраны</t>
  </si>
  <si>
    <t>Вывоз мусора</t>
  </si>
  <si>
    <t>Приобрет. инструмент, инвент.,оборуд</t>
  </si>
  <si>
    <t>Налог с ФОТ</t>
  </si>
  <si>
    <t>Премиальный фонд</t>
  </si>
  <si>
    <t>Заработная плата    (14 человек)</t>
  </si>
  <si>
    <t>Услуги связи</t>
  </si>
  <si>
    <t>Программное обеспечение</t>
  </si>
  <si>
    <t>Общехозяйственные расходы</t>
  </si>
  <si>
    <t>Экономия(+)    Перерасход(-)</t>
  </si>
  <si>
    <t>Статьи расходования денежных средств</t>
  </si>
  <si>
    <t xml:space="preserve">      ИТОГО ВЗНОСЫ И ДОХОДЫ</t>
  </si>
  <si>
    <t>Коммерч деят. +договора на обслуж.</t>
  </si>
  <si>
    <t>% за депозит</t>
  </si>
  <si>
    <t>Карты въезда</t>
  </si>
  <si>
    <t>ЦФ взнос на содерж. дор. (опл.въезда)</t>
  </si>
  <si>
    <t>ЦФ, вступит.  взнос новых членов</t>
  </si>
  <si>
    <t>Поступл. ден ср. от сбора член. взнос.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</si>
  <si>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</si>
  <si>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</si>
  <si>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</si>
  <si>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</si>
  <si>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</si>
  <si>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</si>
  <si>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</si>
  <si>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</si>
  <si>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 xml:space="preserve"> 01.06.19</t>
  </si>
  <si>
    <t>Недобор(-) Перевыполн.(+)</t>
  </si>
  <si>
    <t>Бюджет          за 7 мес.</t>
  </si>
  <si>
    <t>Итого за 7 мес.</t>
  </si>
  <si>
    <t>сентябрь</t>
  </si>
  <si>
    <t>август</t>
  </si>
  <si>
    <t>июль</t>
  </si>
  <si>
    <t>июнь</t>
  </si>
  <si>
    <t>Ост денег</t>
  </si>
  <si>
    <t>Лимит на месяц</t>
  </si>
  <si>
    <t>Лимит на год</t>
  </si>
  <si>
    <t>Статьи поступления денежных средств</t>
  </si>
  <si>
    <t xml:space="preserve">Исполнение финансового плана ТСН "КП "Согласие" за период с июня 2019 по декабрь 2019 года </t>
  </si>
  <si>
    <t>2019-2020гг.</t>
  </si>
  <si>
    <t>Финансовый год: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</si>
</sst>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DFED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EB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CC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FD9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3" fillId="0" borderId="0" xfId="1" applyNumberFormat="1" applyFont="1"/>
    <xf numFmtId="0" fontId="4" fillId="0" borderId="0" xfId="0" applyFont="1" applyAlignment="1">
      <alignment horizontal="right"/>
    </xf>
    <xf numFmtId="43" fontId="5" fillId="0" borderId="0" xfId="1" applyNumberFormat="1" applyFont="1"/>
    <xf numFmtId="43" fontId="3" fillId="0" borderId="0" xfId="1" applyNumberFormat="1" applyFont="1"/>
    <xf numFmtId="0" fontId="3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8" fillId="2" borderId="2" xfId="0" applyFont="1" applyFill="1" applyBorder="1"/>
    <xf numFmtId="0" fontId="8" fillId="2" borderId="1" xfId="0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3" fontId="6" fillId="2" borderId="3" xfId="0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0" fontId="8" fillId="2" borderId="4" xfId="0" applyFont="1" applyFill="1" applyBorder="1"/>
    <xf numFmtId="3" fontId="7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4" fontId="7" fillId="2" borderId="3" xfId="1" applyNumberFormat="1" applyFont="1" applyFill="1" applyBorder="1" applyAlignment="1">
      <alignment horizontal="center"/>
    </xf>
    <xf numFmtId="0" fontId="0" fillId="2" borderId="4" xfId="0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3" fontId="6" fillId="2" borderId="5" xfId="0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0" fontId="8" fillId="2" borderId="6" xfId="0" applyFont="1" applyFill="1" applyBorder="1"/>
    <xf numFmtId="3" fontId="7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0" fontId="0" fillId="2" borderId="6" xfId="0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center"/>
    </xf>
    <xf numFmtId="3" fontId="6" fillId="3" borderId="1" xfId="0" applyNumberFormat="1" applyFont="1" applyFill="1" applyBorder="1"/>
    <xf numFmtId="3" fontId="6" fillId="3" borderId="1" xfId="0" applyNumberFormat="1" applyFont="1" applyFill="1" applyBorder="1" applyAlignment="1">
      <alignment horizontal="center"/>
    </xf>
    <xf numFmtId="0" fontId="9" fillId="0" borderId="1" xfId="0" applyFont="1" applyBorder="1"/>
    <xf numFmtId="3" fontId="6" fillId="4" borderId="1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/>
    </xf>
    <xf numFmtId="0" fontId="9" fillId="0" borderId="7" xfId="0" applyFont="1" applyBorder="1" applyAlignment="1"/>
    <xf numFmtId="0" fontId="9" fillId="0" borderId="8" xfId="0" applyFont="1" applyBorder="1" applyAlignment="1"/>
    <xf numFmtId="0" fontId="6" fillId="0" borderId="9" xfId="0" applyFont="1" applyFill="1" applyBorder="1" applyAlignment="1"/>
    <xf numFmtId="0" fontId="2" fillId="0" borderId="0" xfId="0" applyFont="1"/>
    <xf numFmtId="3" fontId="6" fillId="6" borderId="3" xfId="0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0" fontId="9" fillId="0" borderId="3" xfId="0" applyFont="1" applyBorder="1"/>
    <xf numFmtId="3" fontId="6" fillId="4" borderId="3" xfId="0" applyNumberFormat="1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0" xfId="0" applyFill="1" applyBorder="1"/>
    <xf numFmtId="3" fontId="6" fillId="6" borderId="5" xfId="0" applyNumberFormat="1" applyFont="1" applyFill="1" applyBorder="1" applyAlignment="1">
      <alignment horizontal="center"/>
    </xf>
    <xf numFmtId="3" fontId="6" fillId="7" borderId="11" xfId="0" applyNumberFormat="1" applyFont="1" applyFill="1" applyBorder="1" applyAlignment="1">
      <alignment horizontal="center"/>
    </xf>
    <xf numFmtId="3" fontId="6" fillId="7" borderId="5" xfId="0" applyNumberFormat="1" applyFont="1" applyFill="1" applyBorder="1" applyAlignment="1">
      <alignment horizontal="center"/>
    </xf>
    <xf numFmtId="3" fontId="9" fillId="3" borderId="12" xfId="0" applyNumberFormat="1" applyFont="1" applyFill="1" applyBorder="1" applyAlignment="1">
      <alignment horizontal="center"/>
    </xf>
    <xf numFmtId="0" fontId="9" fillId="0" borderId="12" xfId="0" applyFont="1" applyBorder="1"/>
    <xf numFmtId="3" fontId="6" fillId="4" borderId="12" xfId="0" applyNumberFormat="1" applyFont="1" applyFill="1" applyBorder="1" applyAlignment="1">
      <alignment horizontal="center"/>
    </xf>
    <xf numFmtId="3" fontId="6" fillId="5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Fill="1" applyBorder="1"/>
    <xf numFmtId="3" fontId="9" fillId="3" borderId="5" xfId="0" applyNumberFormat="1" applyFont="1" applyFill="1" applyBorder="1" applyAlignment="1">
      <alignment horizontal="center"/>
    </xf>
    <xf numFmtId="0" fontId="9" fillId="0" borderId="5" xfId="0" applyFont="1" applyBorder="1"/>
    <xf numFmtId="3" fontId="6" fillId="4" borderId="5" xfId="0" applyNumberFormat="1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5" xfId="0" applyFill="1" applyBorder="1"/>
    <xf numFmtId="3" fontId="6" fillId="0" borderId="11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1" xfId="0" applyFill="1" applyBorder="1"/>
    <xf numFmtId="0" fontId="0" fillId="0" borderId="16" xfId="0" applyBorder="1"/>
    <xf numFmtId="3" fontId="10" fillId="3" borderId="1" xfId="0" applyNumberFormat="1" applyFont="1" applyFill="1" applyBorder="1" applyAlignment="1">
      <alignment horizontal="center"/>
    </xf>
    <xf numFmtId="0" fontId="0" fillId="0" borderId="17" xfId="0" applyBorder="1"/>
    <xf numFmtId="0" fontId="6" fillId="8" borderId="16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12" fillId="3" borderId="6" xfId="0" applyFont="1" applyFill="1" applyBorder="1" applyAlignment="1">
      <alignment wrapText="1"/>
    </xf>
    <xf numFmtId="3" fontId="0" fillId="0" borderId="0" xfId="0" applyNumberFormat="1"/>
    <xf numFmtId="3" fontId="6" fillId="10" borderId="1" xfId="0" applyNumberFormat="1" applyFont="1" applyFill="1" applyBorder="1" applyAlignment="1">
      <alignment horizontal="center"/>
    </xf>
    <xf numFmtId="3" fontId="6" fillId="0" borderId="1" xfId="0" applyNumberFormat="1" applyFont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8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3" fontId="9" fillId="10" borderId="3" xfId="0" applyNumberFormat="1" applyFont="1" applyFill="1" applyBorder="1" applyAlignment="1">
      <alignment horizontal="center"/>
    </xf>
    <xf numFmtId="0" fontId="9" fillId="0" borderId="4" xfId="0" applyFont="1" applyBorder="1"/>
    <xf numFmtId="0" fontId="9" fillId="0" borderId="10" xfId="0" applyFont="1" applyBorder="1"/>
    <xf numFmtId="0" fontId="9" fillId="0" borderId="3" xfId="0" applyFont="1" applyFill="1" applyBorder="1"/>
    <xf numFmtId="3" fontId="10" fillId="0" borderId="5" xfId="0" applyNumberFormat="1" applyFont="1" applyFill="1" applyBorder="1"/>
    <xf numFmtId="3" fontId="9" fillId="0" borderId="5" xfId="0" applyNumberFormat="1" applyFont="1" applyFill="1" applyBorder="1"/>
    <xf numFmtId="3" fontId="9" fillId="0" borderId="5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5" xfId="0" applyNumberFormat="1" applyFont="1" applyBorder="1"/>
    <xf numFmtId="3" fontId="9" fillId="0" borderId="5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15" xfId="0" applyFont="1" applyBorder="1"/>
    <xf numFmtId="3" fontId="10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/>
    </xf>
    <xf numFmtId="3" fontId="10" fillId="10" borderId="5" xfId="0" applyNumberFormat="1" applyFont="1" applyFill="1" applyBorder="1" applyAlignment="1">
      <alignment horizontal="center"/>
    </xf>
    <xf numFmtId="3" fontId="9" fillId="10" borderId="5" xfId="0" applyNumberFormat="1" applyFont="1" applyFill="1" applyBorder="1" applyAlignment="1">
      <alignment horizontal="center"/>
    </xf>
    <xf numFmtId="3" fontId="9" fillId="10" borderId="5" xfId="0" applyNumberFormat="1" applyFont="1" applyFill="1" applyBorder="1" applyAlignment="1">
      <alignment horizontal="center" vertical="center"/>
    </xf>
    <xf numFmtId="3" fontId="10" fillId="10" borderId="5" xfId="0" applyNumberFormat="1" applyFont="1" applyFill="1" applyBorder="1" applyAlignment="1">
      <alignment horizontal="center" vertical="center"/>
    </xf>
    <xf numFmtId="3" fontId="9" fillId="10" borderId="5" xfId="0" applyNumberFormat="1" applyFont="1" applyFill="1" applyBorder="1"/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2" fillId="11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1" xfId="0" applyBorder="1"/>
    <xf numFmtId="0" fontId="2" fillId="11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12" fillId="10" borderId="14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0" fillId="0" borderId="0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&#1073;&#1102;&#1076;&#1078;&#1077;&#1090;&#1072;%202019-2020%20&#1076;&#1077;&#1082;&#1072;&#1073;&#1088;&#1100;%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затраты за 6 мес."/>
      <sheetName val="ВСЕ затраты в 2016-2017 гг (2)"/>
      <sheetName val="ВСЕ затраты в 2019-2020 гг"/>
      <sheetName val="общехоз расходы"/>
      <sheetName val="программ обеспечение"/>
      <sheetName val="услуги связи"/>
      <sheetName val="з пл"/>
      <sheetName val="премиальный фонд"/>
      <sheetName val="налог с ФОТ"/>
      <sheetName val="приобрт инвентаря и оборуд"/>
      <sheetName val="вывоз мусора"/>
      <sheetName val="сод охраны"/>
      <sheetName val="содерж газ оборуд"/>
      <sheetName val="Лицензирование"/>
      <sheetName val="сод сетей водоснабжения"/>
      <sheetName val="Ремонт водопров. (закольцовка)"/>
      <sheetName val="сод сетей канализации"/>
      <sheetName val="ремонт канализации"/>
      <sheetName val="сод сетей эл.снабж"/>
      <sheetName val="эл.эн на общ нужды"/>
      <sheetName val="содерж дорог"/>
      <sheetName val="ямочный ремонт"/>
      <sheetName val="благоустройство"/>
      <sheetName val="резервный фонд"/>
    </sheetNames>
    <sheetDataSet>
      <sheetData sheetId="0"/>
      <sheetData sheetId="1"/>
      <sheetData sheetId="2"/>
      <sheetData sheetId="3">
        <row r="67">
          <cell r="B67">
            <v>69285.140000000014</v>
          </cell>
          <cell r="C67">
            <v>62428.83</v>
          </cell>
          <cell r="D67">
            <v>39254.819999999992</v>
          </cell>
          <cell r="E67">
            <v>126956.63</v>
          </cell>
          <cell r="F67">
            <v>70935.510000000009</v>
          </cell>
          <cell r="G67">
            <v>65120.65</v>
          </cell>
          <cell r="H67">
            <v>81754.819999999992</v>
          </cell>
        </row>
      </sheetData>
      <sheetData sheetId="4">
        <row r="11">
          <cell r="B11">
            <v>7000</v>
          </cell>
          <cell r="C11">
            <v>0</v>
          </cell>
          <cell r="D11">
            <v>3538.13</v>
          </cell>
          <cell r="E11">
            <v>8000</v>
          </cell>
          <cell r="F11">
            <v>1190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</sheetData>
      <sheetData sheetId="5">
        <row r="7">
          <cell r="B7">
            <v>13213.33</v>
          </cell>
          <cell r="C7">
            <v>20000</v>
          </cell>
          <cell r="D7">
            <v>9000</v>
          </cell>
          <cell r="E7">
            <v>8000</v>
          </cell>
          <cell r="F7">
            <v>5000</v>
          </cell>
          <cell r="G7">
            <v>6000</v>
          </cell>
          <cell r="H7">
            <v>15000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</sheetData>
      <sheetData sheetId="6">
        <row r="6">
          <cell r="B6">
            <v>607993.30900000001</v>
          </cell>
          <cell r="C6">
            <v>846319.86</v>
          </cell>
          <cell r="D6">
            <v>523883.59</v>
          </cell>
          <cell r="E6">
            <v>599763.37</v>
          </cell>
          <cell r="F6">
            <v>520399.55</v>
          </cell>
          <cell r="G6">
            <v>710981.64</v>
          </cell>
          <cell r="H6">
            <v>982686.89999999991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7">
        <row r="5">
          <cell r="B5">
            <v>82861.11</v>
          </cell>
          <cell r="C5">
            <v>6640.63</v>
          </cell>
          <cell r="D5">
            <v>13426</v>
          </cell>
          <cell r="E5">
            <v>8250</v>
          </cell>
          <cell r="F5">
            <v>15152.68</v>
          </cell>
          <cell r="G5">
            <v>11770.38</v>
          </cell>
          <cell r="H5">
            <v>63326.64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</sheetData>
      <sheetData sheetId="8">
        <row r="5">
          <cell r="B5">
            <v>180380.46</v>
          </cell>
          <cell r="C5">
            <v>181978.21000000002</v>
          </cell>
          <cell r="D5">
            <v>223859.49000000002</v>
          </cell>
          <cell r="E5">
            <v>130876.79999999999</v>
          </cell>
          <cell r="F5">
            <v>169873.41999999998</v>
          </cell>
          <cell r="G5">
            <v>221352.77000000002</v>
          </cell>
          <cell r="H5">
            <v>314385.86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</sheetData>
      <sheetData sheetId="9">
        <row r="16">
          <cell r="B16">
            <v>0</v>
          </cell>
          <cell r="C16">
            <v>0</v>
          </cell>
          <cell r="D16">
            <v>7603</v>
          </cell>
          <cell r="E16">
            <v>1579</v>
          </cell>
          <cell r="F16">
            <v>2858</v>
          </cell>
          <cell r="G16">
            <v>950</v>
          </cell>
          <cell r="H16">
            <v>1261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10">
        <row r="10">
          <cell r="B10">
            <v>430000</v>
          </cell>
          <cell r="C10">
            <v>340000</v>
          </cell>
          <cell r="D10">
            <v>370000</v>
          </cell>
          <cell r="E10">
            <v>380000</v>
          </cell>
          <cell r="F10">
            <v>423000</v>
          </cell>
          <cell r="G10">
            <v>603000</v>
          </cell>
          <cell r="H10">
            <v>351000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</sheetData>
      <sheetData sheetId="11">
        <row r="7">
          <cell r="B7">
            <v>0</v>
          </cell>
          <cell r="C7">
            <v>517121.4</v>
          </cell>
          <cell r="D7">
            <v>517121.4</v>
          </cell>
          <cell r="E7">
            <v>517121.4</v>
          </cell>
          <cell r="F7">
            <v>517121.4</v>
          </cell>
          <cell r="G7">
            <v>517121.4</v>
          </cell>
          <cell r="H7">
            <v>1034242.8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</sheetData>
      <sheetData sheetId="12">
        <row r="6">
          <cell r="B6">
            <v>20697.669999999998</v>
          </cell>
          <cell r="C6">
            <v>20697.669999999998</v>
          </cell>
          <cell r="D6">
            <v>20697.669999999998</v>
          </cell>
          <cell r="E6">
            <v>20697.669999999998</v>
          </cell>
          <cell r="F6">
            <v>20697.669999999998</v>
          </cell>
          <cell r="G6">
            <v>20697.669999999998</v>
          </cell>
          <cell r="H6">
            <v>41395.4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13">
        <row r="26">
          <cell r="B26">
            <v>41240</v>
          </cell>
          <cell r="C26">
            <v>283000</v>
          </cell>
          <cell r="F26">
            <v>109000</v>
          </cell>
        </row>
      </sheetData>
      <sheetData sheetId="14">
        <row r="27">
          <cell r="B27">
            <v>0</v>
          </cell>
          <cell r="C27">
            <v>32951</v>
          </cell>
          <cell r="D27">
            <v>15533</v>
          </cell>
          <cell r="E27">
            <v>59031.039999999994</v>
          </cell>
          <cell r="F27">
            <v>65381</v>
          </cell>
          <cell r="G27">
            <v>63974.479999999996</v>
          </cell>
          <cell r="H27">
            <v>31066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</sheetData>
      <sheetData sheetId="15">
        <row r="17">
          <cell r="B17">
            <v>1908095</v>
          </cell>
          <cell r="C17">
            <v>548220</v>
          </cell>
          <cell r="D17">
            <v>545371.25</v>
          </cell>
          <cell r="E17">
            <v>100000</v>
          </cell>
          <cell r="F17">
            <v>751928.17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16">
        <row r="27">
          <cell r="B27">
            <v>1565</v>
          </cell>
          <cell r="C27">
            <v>31275</v>
          </cell>
          <cell r="D27">
            <v>6146</v>
          </cell>
          <cell r="E27">
            <v>5126</v>
          </cell>
          <cell r="F27">
            <v>2560.6</v>
          </cell>
          <cell r="G27">
            <v>0</v>
          </cell>
          <cell r="H27">
            <v>2506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</sheetData>
      <sheetData sheetId="17">
        <row r="21">
          <cell r="B21">
            <v>0</v>
          </cell>
          <cell r="C21">
            <v>16300</v>
          </cell>
          <cell r="D21">
            <v>16300</v>
          </cell>
          <cell r="E21">
            <v>19300</v>
          </cell>
          <cell r="F21">
            <v>16300</v>
          </cell>
          <cell r="G21">
            <v>16300</v>
          </cell>
          <cell r="H21">
            <v>18300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8">
        <row r="19">
          <cell r="B19">
            <v>2498.1999999999998</v>
          </cell>
          <cell r="C19">
            <v>9360</v>
          </cell>
          <cell r="D19">
            <v>0</v>
          </cell>
          <cell r="E19">
            <v>0</v>
          </cell>
          <cell r="F19">
            <v>10656</v>
          </cell>
          <cell r="G19">
            <v>5830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</sheetData>
      <sheetData sheetId="19">
        <row r="6">
          <cell r="B6">
            <v>131952.95000000001</v>
          </cell>
          <cell r="C6">
            <v>119523.9</v>
          </cell>
          <cell r="D6">
            <v>70762</v>
          </cell>
          <cell r="E6">
            <v>114411.91</v>
          </cell>
          <cell r="F6">
            <v>133377.34</v>
          </cell>
          <cell r="G6">
            <v>144968.57999999999</v>
          </cell>
          <cell r="H6">
            <v>177184.52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20">
        <row r="35">
          <cell r="B35">
            <v>35610</v>
          </cell>
          <cell r="C35">
            <v>44383.6</v>
          </cell>
          <cell r="D35">
            <v>1839.6</v>
          </cell>
          <cell r="E35">
            <v>49364.52</v>
          </cell>
          <cell r="F35">
            <v>97762.040000000008</v>
          </cell>
          <cell r="G35">
            <v>11655</v>
          </cell>
          <cell r="H35">
            <v>26519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</sheetData>
      <sheetData sheetId="21">
        <row r="11">
          <cell r="B11">
            <v>0</v>
          </cell>
          <cell r="C11">
            <v>161813.73000000001</v>
          </cell>
          <cell r="D11">
            <v>271816.26</v>
          </cell>
          <cell r="E11">
            <v>0</v>
          </cell>
          <cell r="F11">
            <v>0</v>
          </cell>
        </row>
      </sheetData>
      <sheetData sheetId="22">
        <row r="36">
          <cell r="B36">
            <v>51273</v>
          </cell>
          <cell r="C36">
            <v>4473.62</v>
          </cell>
          <cell r="D36">
            <v>1038</v>
          </cell>
          <cell r="E36">
            <v>69850.599999999991</v>
          </cell>
          <cell r="F36">
            <v>0</v>
          </cell>
          <cell r="G36">
            <v>46952.009999999995</v>
          </cell>
          <cell r="H36">
            <v>38566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</sheetData>
      <sheetData sheetId="23">
        <row r="30">
          <cell r="B30">
            <v>22692</v>
          </cell>
          <cell r="C30">
            <v>85301.17</v>
          </cell>
          <cell r="D30">
            <v>0</v>
          </cell>
          <cell r="E30">
            <v>365004.17</v>
          </cell>
          <cell r="F30">
            <v>134978.35</v>
          </cell>
          <cell r="G30">
            <v>54278.01</v>
          </cell>
          <cell r="H30">
            <v>95548.75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62"/>
  <sheetViews>
    <sheetView tabSelected="1" view="pageBreakPreview" zoomScale="90" zoomScaleNormal="90" zoomScaleSheetLayoutView="90" workbookViewId="0">
      <selection activeCell="Z9" sqref="Z9"/>
    </sheetView>
  </sheetViews>
  <sheetFormatPr defaultRowHeight="15" x14ac:dyDescent="0.25"/>
  <cols>
    <col min="4" max="4" width="9.85546875" bestFit="1" customWidth="1"/>
    <col min="5" max="5" width="3.28515625" customWidth="1"/>
    <col min="6" max="6" width="13.42578125" style="1" bestFit="1" customWidth="1"/>
    <col min="7" max="7" width="10.85546875" style="1" customWidth="1"/>
    <col min="8" max="8" width="10.42578125" hidden="1" customWidth="1"/>
    <col min="9" max="10" width="16.7109375" style="1" customWidth="1"/>
    <col min="11" max="11" width="11.85546875" style="1" bestFit="1" customWidth="1"/>
    <col min="12" max="13" width="12.42578125" customWidth="1"/>
    <col min="14" max="14" width="11.85546875" bestFit="1" customWidth="1"/>
    <col min="15" max="15" width="11.7109375" bestFit="1" customWidth="1"/>
    <col min="16" max="16" width="7.28515625" hidden="1" customWidth="1"/>
    <col min="17" max="17" width="8.85546875" hidden="1" customWidth="1"/>
    <col min="18" max="18" width="5.5703125" hidden="1" customWidth="1"/>
    <col min="19" max="19" width="7.5703125" hidden="1" customWidth="1"/>
    <col min="20" max="20" width="4.7109375" hidden="1" customWidth="1"/>
    <col min="21" max="21" width="11.28515625" style="1" bestFit="1" customWidth="1"/>
    <col min="22" max="22" width="13.42578125" style="1" bestFit="1" customWidth="1"/>
    <col min="23" max="23" width="16.140625" style="1" customWidth="1"/>
    <col min="24" max="24" width="15.5703125" bestFit="1" customWidth="1"/>
  </cols>
  <sheetData>
    <row r="1" spans="1:24" ht="18" customHeight="1" x14ac:dyDescent="0.25">
      <c r="A1" s="129" t="s">
        <v>66</v>
      </c>
      <c r="B1" s="129"/>
      <c r="C1" s="129" t="s">
        <v>65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4" ht="21" customHeight="1" x14ac:dyDescent="0.25">
      <c r="A2" s="128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7"/>
      <c r="R2" s="127"/>
      <c r="S2" s="127"/>
      <c r="T2" s="127"/>
      <c r="U2" s="127"/>
      <c r="V2" s="1">
        <v>7</v>
      </c>
    </row>
    <row r="3" spans="1:24" ht="37.5" customHeight="1" x14ac:dyDescent="0.3">
      <c r="A3" s="126" t="s">
        <v>63</v>
      </c>
      <c r="B3" s="125"/>
      <c r="C3" s="125"/>
      <c r="D3" s="125"/>
      <c r="E3" s="124"/>
      <c r="F3" s="121" t="s">
        <v>62</v>
      </c>
      <c r="G3" s="121" t="s">
        <v>61</v>
      </c>
      <c r="H3" s="123" t="s">
        <v>60</v>
      </c>
      <c r="I3" s="122" t="s">
        <v>59</v>
      </c>
      <c r="J3" s="122" t="s">
        <v>58</v>
      </c>
      <c r="K3" s="122" t="s">
        <v>57</v>
      </c>
      <c r="L3" s="122" t="s">
        <v>56</v>
      </c>
      <c r="M3" s="122" t="s">
        <v>51</v>
      </c>
      <c r="N3" s="122" t="s">
        <v>50</v>
      </c>
      <c r="O3" s="122" t="s">
        <v>49</v>
      </c>
      <c r="P3" s="122" t="s">
        <v>48</v>
      </c>
      <c r="Q3" s="122" t="s">
        <v>47</v>
      </c>
      <c r="R3" s="122" t="s">
        <v>46</v>
      </c>
      <c r="S3" s="122" t="s">
        <v>45</v>
      </c>
      <c r="T3" s="122" t="s">
        <v>44</v>
      </c>
      <c r="U3" s="121" t="s">
        <v>55</v>
      </c>
      <c r="V3" s="121" t="s">
        <v>54</v>
      </c>
      <c r="W3" s="120" t="s">
        <v>53</v>
      </c>
    </row>
    <row r="4" spans="1:24" ht="15" customHeight="1" x14ac:dyDescent="0.25">
      <c r="A4" s="119"/>
      <c r="B4" s="72"/>
      <c r="C4" s="72"/>
      <c r="D4" s="72"/>
      <c r="E4" s="72"/>
      <c r="F4" s="116"/>
      <c r="G4" s="116"/>
      <c r="H4" s="118" t="s">
        <v>52</v>
      </c>
      <c r="I4" s="117"/>
      <c r="J4" s="117"/>
      <c r="K4" s="117"/>
      <c r="L4" s="117"/>
      <c r="M4" s="117" t="s">
        <v>51</v>
      </c>
      <c r="N4" s="117" t="s">
        <v>50</v>
      </c>
      <c r="O4" s="117" t="s">
        <v>49</v>
      </c>
      <c r="P4" s="117" t="s">
        <v>48</v>
      </c>
      <c r="Q4" s="117" t="s">
        <v>47</v>
      </c>
      <c r="R4" s="117" t="s">
        <v>46</v>
      </c>
      <c r="S4" s="117" t="s">
        <v>45</v>
      </c>
      <c r="T4" s="117" t="s">
        <v>44</v>
      </c>
      <c r="U4" s="116"/>
      <c r="V4" s="115"/>
      <c r="W4" s="114"/>
    </row>
    <row r="5" spans="1:24" ht="15.75" x14ac:dyDescent="0.25">
      <c r="A5" s="104" t="s">
        <v>43</v>
      </c>
      <c r="B5" s="103"/>
      <c r="C5" s="103"/>
      <c r="D5" s="103"/>
      <c r="E5" s="103"/>
      <c r="F5" s="66">
        <v>31275180</v>
      </c>
      <c r="G5" s="65">
        <f>F5/12</f>
        <v>2606265</v>
      </c>
      <c r="H5" s="111">
        <f>4448484.47+3000000</f>
        <v>7448484.4699999997</v>
      </c>
      <c r="I5" s="108">
        <v>2263023</v>
      </c>
      <c r="J5" s="108">
        <v>2752189</v>
      </c>
      <c r="K5" s="108">
        <v>2753117</v>
      </c>
      <c r="L5" s="111">
        <v>2500678</v>
      </c>
      <c r="M5" s="110">
        <v>2518660</v>
      </c>
      <c r="N5" s="109">
        <v>2180064</v>
      </c>
      <c r="O5" s="109">
        <v>3085799.69</v>
      </c>
      <c r="P5" s="108"/>
      <c r="Q5" s="108"/>
      <c r="R5" s="108"/>
      <c r="S5" s="108"/>
      <c r="T5" s="107"/>
      <c r="U5" s="70">
        <f>SUM(I5:T5)</f>
        <v>18053530.690000001</v>
      </c>
      <c r="V5" s="69">
        <f>G5*V2</f>
        <v>18243855</v>
      </c>
      <c r="W5" s="28">
        <f>U5-V5</f>
        <v>-190324.30999999866</v>
      </c>
    </row>
    <row r="6" spans="1:24" ht="15.75" x14ac:dyDescent="0.25">
      <c r="A6" s="104" t="s">
        <v>42</v>
      </c>
      <c r="B6" s="103"/>
      <c r="C6" s="103"/>
      <c r="D6" s="103"/>
      <c r="E6" s="103"/>
      <c r="F6" s="113"/>
      <c r="G6" s="113"/>
      <c r="H6" s="64"/>
      <c r="I6" s="113"/>
      <c r="J6" s="113"/>
      <c r="K6" s="113"/>
      <c r="L6" s="64"/>
      <c r="M6" s="112"/>
      <c r="N6" s="112"/>
      <c r="O6" s="64"/>
      <c r="P6" s="64"/>
      <c r="Q6" s="64"/>
      <c r="R6" s="64"/>
      <c r="S6" s="64"/>
      <c r="T6" s="64"/>
      <c r="U6" s="70">
        <f>SUM(I6:T6)</f>
        <v>0</v>
      </c>
      <c r="V6" s="55"/>
      <c r="W6" s="28">
        <f>U6-V6</f>
        <v>0</v>
      </c>
    </row>
    <row r="7" spans="1:24" ht="15.75" x14ac:dyDescent="0.25">
      <c r="A7" s="104" t="s">
        <v>41</v>
      </c>
      <c r="B7" s="103"/>
      <c r="C7" s="103"/>
      <c r="D7" s="103"/>
      <c r="E7" s="103"/>
      <c r="F7" s="66">
        <v>450000</v>
      </c>
      <c r="G7" s="65">
        <f>F7/12</f>
        <v>37500</v>
      </c>
      <c r="H7" s="101"/>
      <c r="I7" s="108">
        <v>58852</v>
      </c>
      <c r="J7" s="108">
        <v>56173</v>
      </c>
      <c r="K7" s="108">
        <v>47597</v>
      </c>
      <c r="L7" s="111">
        <v>41120</v>
      </c>
      <c r="M7" s="110">
        <v>66700</v>
      </c>
      <c r="N7" s="109">
        <v>35640</v>
      </c>
      <c r="O7" s="108">
        <v>39217</v>
      </c>
      <c r="P7" s="108"/>
      <c r="Q7" s="108"/>
      <c r="R7" s="108"/>
      <c r="S7" s="108"/>
      <c r="T7" s="107"/>
      <c r="U7" s="70">
        <f>SUM(I7:T7)</f>
        <v>345299</v>
      </c>
      <c r="V7" s="69">
        <f>G7*V2</f>
        <v>262500</v>
      </c>
      <c r="W7" s="28">
        <f>U7-V7</f>
        <v>82799</v>
      </c>
    </row>
    <row r="8" spans="1:24" ht="15.75" x14ac:dyDescent="0.25">
      <c r="A8" s="104" t="s">
        <v>40</v>
      </c>
      <c r="B8" s="103"/>
      <c r="C8" s="103"/>
      <c r="D8" s="103"/>
      <c r="E8" s="103"/>
      <c r="F8" s="106"/>
      <c r="G8" s="106"/>
      <c r="H8" s="98"/>
      <c r="I8" s="99"/>
      <c r="J8" s="99"/>
      <c r="K8" s="99"/>
      <c r="L8" s="98"/>
      <c r="M8" s="105"/>
      <c r="N8" s="100"/>
      <c r="O8" s="99"/>
      <c r="P8" s="99"/>
      <c r="Q8" s="99"/>
      <c r="R8" s="99"/>
      <c r="S8" s="99"/>
      <c r="T8" s="99"/>
      <c r="U8" s="70">
        <f>SUM(I8:T8)</f>
        <v>0</v>
      </c>
      <c r="V8" s="55"/>
      <c r="W8" s="28">
        <f>U8-V8</f>
        <v>0</v>
      </c>
    </row>
    <row r="9" spans="1:24" ht="15.75" x14ac:dyDescent="0.25">
      <c r="A9" s="104" t="s">
        <v>39</v>
      </c>
      <c r="B9" s="103"/>
      <c r="C9" s="103"/>
      <c r="D9" s="103"/>
      <c r="E9" s="103"/>
      <c r="F9" s="102"/>
      <c r="G9" s="102"/>
      <c r="H9" s="64"/>
      <c r="I9" s="102">
        <v>44752.33</v>
      </c>
      <c r="J9" s="102">
        <v>15822.74</v>
      </c>
      <c r="K9" s="102">
        <v>8680</v>
      </c>
      <c r="L9" s="101">
        <v>13637.53</v>
      </c>
      <c r="M9" s="100">
        <v>0</v>
      </c>
      <c r="N9" s="100">
        <v>11861.92</v>
      </c>
      <c r="O9" s="99">
        <v>0</v>
      </c>
      <c r="P9" s="98"/>
      <c r="Q9" s="98"/>
      <c r="R9" s="98"/>
      <c r="S9" s="98"/>
      <c r="T9" s="97"/>
      <c r="U9" s="70">
        <f>SUM(I9:T9)</f>
        <v>94754.52</v>
      </c>
      <c r="V9" s="55"/>
      <c r="W9" s="28">
        <f>U9-V9</f>
        <v>94754.52</v>
      </c>
    </row>
    <row r="10" spans="1:24" ht="16.5" thickBot="1" x14ac:dyDescent="0.3">
      <c r="A10" s="96" t="s">
        <v>38</v>
      </c>
      <c r="B10" s="95"/>
      <c r="C10" s="94"/>
      <c r="D10" s="94"/>
      <c r="E10" s="94"/>
      <c r="F10" s="66">
        <v>560000</v>
      </c>
      <c r="G10" s="50">
        <f>F10/12</f>
        <v>46666.666666666664</v>
      </c>
      <c r="H10" s="49"/>
      <c r="I10" s="93">
        <f>54517.9-16823</f>
        <v>37694.9</v>
      </c>
      <c r="J10" s="93">
        <v>65995.199999999997</v>
      </c>
      <c r="K10" s="93">
        <v>47294.85</v>
      </c>
      <c r="L10" s="93">
        <f>67316.45+58200</f>
        <v>125516.45</v>
      </c>
      <c r="M10" s="93">
        <f>20000+721.12+4271.26+15000+326+3128.32+4250+26002.7</f>
        <v>73699.399999999994</v>
      </c>
      <c r="N10" s="93">
        <f>20000+3931.69+15000+326+2000+10000</f>
        <v>51257.69</v>
      </c>
      <c r="O10" s="93">
        <f>20000+15000+1088.32+9500+326</f>
        <v>45914.32</v>
      </c>
      <c r="P10" s="92"/>
      <c r="Q10" s="92"/>
      <c r="R10" s="92"/>
      <c r="S10" s="92"/>
      <c r="T10" s="92"/>
      <c r="U10" s="47">
        <f>SUM(I10:T10)</f>
        <v>447372.81000000006</v>
      </c>
      <c r="V10" s="91">
        <f>G10*V2</f>
        <v>326666.66666666663</v>
      </c>
      <c r="W10" s="20">
        <f>U10-V10</f>
        <v>120706.14333333343</v>
      </c>
    </row>
    <row r="11" spans="1:24" ht="15.75" x14ac:dyDescent="0.25">
      <c r="A11" s="90" t="s">
        <v>37</v>
      </c>
      <c r="B11" s="89"/>
      <c r="C11" s="89"/>
      <c r="D11" s="89"/>
      <c r="E11" s="88"/>
      <c r="F11" s="41">
        <f>SUM(F5:F10)</f>
        <v>32285180</v>
      </c>
      <c r="G11" s="40">
        <f>SUM(G5:G10)</f>
        <v>2690431.6666666665</v>
      </c>
      <c r="H11" s="87">
        <f>SUM(H5:H10)</f>
        <v>7448484.4699999997</v>
      </c>
      <c r="I11" s="86">
        <f>SUM(I5:I10)</f>
        <v>2404322.23</v>
      </c>
      <c r="J11" s="86">
        <f>SUM(J5:J10)</f>
        <v>2890179.9400000004</v>
      </c>
      <c r="K11" s="86">
        <f>SUM(K5:K10)</f>
        <v>2856688.85</v>
      </c>
      <c r="L11" s="86">
        <f>SUM(L5:L10)</f>
        <v>2680951.98</v>
      </c>
      <c r="M11" s="86">
        <f>SUM(M5:M10)</f>
        <v>2659059.4</v>
      </c>
      <c r="N11" s="86">
        <f>SUM(N5:N10)</f>
        <v>2278823.61</v>
      </c>
      <c r="O11" s="86">
        <f>SUM(O5:O10)</f>
        <v>3170931.01</v>
      </c>
      <c r="P11" s="86">
        <f>SUM(P5:P10)</f>
        <v>0</v>
      </c>
      <c r="Q11" s="86">
        <f>SUM(Q5:Q10)</f>
        <v>0</v>
      </c>
      <c r="R11" s="86">
        <f>SUM(R5:R10)</f>
        <v>0</v>
      </c>
      <c r="S11" s="86">
        <f>SUM(S5:S10)</f>
        <v>0</v>
      </c>
      <c r="T11" s="86">
        <f>SUM(T5:T10)</f>
        <v>0</v>
      </c>
      <c r="U11" s="36">
        <f>SUM(I11:T11)</f>
        <v>18940957.02</v>
      </c>
      <c r="V11" s="69">
        <f>SUM(V5:V10)</f>
        <v>18833021.666666668</v>
      </c>
      <c r="W11" s="12">
        <f>U11-V11</f>
        <v>107935.35333333164</v>
      </c>
      <c r="X11" s="85"/>
    </row>
    <row r="12" spans="1:24" ht="33" customHeight="1" x14ac:dyDescent="0.3">
      <c r="A12" s="84" t="s">
        <v>36</v>
      </c>
      <c r="B12" s="83"/>
      <c r="C12" s="83"/>
      <c r="D12" s="83"/>
      <c r="E12" s="83"/>
      <c r="F12" s="82"/>
      <c r="G12" s="82"/>
      <c r="H12" s="80"/>
      <c r="I12" s="82"/>
      <c r="J12" s="82"/>
      <c r="K12" s="82"/>
      <c r="L12" s="80"/>
      <c r="M12" s="81"/>
      <c r="N12" s="81"/>
      <c r="O12" s="80"/>
      <c r="P12" s="80"/>
      <c r="Q12" s="80"/>
      <c r="R12" s="80"/>
      <c r="S12" s="80"/>
      <c r="T12" s="80"/>
      <c r="U12" s="79"/>
      <c r="V12" s="78"/>
      <c r="W12" s="77" t="s">
        <v>35</v>
      </c>
    </row>
    <row r="13" spans="1:24" ht="15.75" x14ac:dyDescent="0.25">
      <c r="A13" s="68" t="s">
        <v>34</v>
      </c>
      <c r="B13" s="67"/>
      <c r="C13" s="67"/>
      <c r="D13" s="67"/>
      <c r="E13" s="67"/>
      <c r="F13" s="66">
        <v>750000</v>
      </c>
      <c r="G13" s="65">
        <f>F13/12</f>
        <v>62500</v>
      </c>
      <c r="H13" s="64"/>
      <c r="I13" s="63">
        <f>'[1]общехоз расходы'!B67</f>
        <v>69285.140000000014</v>
      </c>
      <c r="J13" s="63">
        <f>'[1]общехоз расходы'!C67</f>
        <v>62428.83</v>
      </c>
      <c r="K13" s="63">
        <f>'[1]общехоз расходы'!D67</f>
        <v>39254.819999999992</v>
      </c>
      <c r="L13" s="63">
        <f>'[1]общехоз расходы'!E67</f>
        <v>126956.63</v>
      </c>
      <c r="M13" s="63">
        <f>'[1]общехоз расходы'!F67</f>
        <v>70935.510000000009</v>
      </c>
      <c r="N13" s="63">
        <f>'[1]общехоз расходы'!G67</f>
        <v>65120.65</v>
      </c>
      <c r="O13" s="63">
        <f>'[1]общехоз расходы'!H67</f>
        <v>81754.819999999992</v>
      </c>
      <c r="P13" s="63">
        <f>'[1]общехоз расходы'!I65</f>
        <v>0</v>
      </c>
      <c r="Q13" s="63">
        <f>'[1]общехоз расходы'!J65</f>
        <v>0</v>
      </c>
      <c r="R13" s="63">
        <f>'[1]общехоз расходы'!K65</f>
        <v>0</v>
      </c>
      <c r="S13" s="63">
        <f>'[1]общехоз расходы'!L65</f>
        <v>0</v>
      </c>
      <c r="T13" s="63">
        <f>'[1]общехоз расходы'!M65</f>
        <v>0</v>
      </c>
      <c r="U13" s="70">
        <f>SUM(I13:T13)</f>
        <v>515736.40000000008</v>
      </c>
      <c r="V13" s="69">
        <f>G13*$V$2</f>
        <v>437500</v>
      </c>
      <c r="W13" s="54">
        <f>V13-U13</f>
        <v>-78236.400000000081</v>
      </c>
    </row>
    <row r="14" spans="1:24" ht="15.75" x14ac:dyDescent="0.25">
      <c r="A14" s="73" t="s">
        <v>33</v>
      </c>
      <c r="B14" s="72"/>
      <c r="C14" s="72"/>
      <c r="D14" s="72"/>
      <c r="E14" s="72"/>
      <c r="F14" s="41">
        <v>50000</v>
      </c>
      <c r="G14" s="65">
        <f>F14/12</f>
        <v>4166.666666666667</v>
      </c>
      <c r="H14" s="39"/>
      <c r="I14" s="71">
        <f>'[1]программ обеспечение'!B11</f>
        <v>7000</v>
      </c>
      <c r="J14" s="71">
        <f>'[1]программ обеспечение'!C11</f>
        <v>0</v>
      </c>
      <c r="K14" s="71">
        <f>'[1]программ обеспечение'!D11</f>
        <v>3538.13</v>
      </c>
      <c r="L14" s="71">
        <f>'[1]программ обеспечение'!E11</f>
        <v>8000</v>
      </c>
      <c r="M14" s="71">
        <f>'[1]программ обеспечение'!F11</f>
        <v>1190</v>
      </c>
      <c r="N14" s="71">
        <f>'[1]программ обеспечение'!G11</f>
        <v>0</v>
      </c>
      <c r="O14" s="63">
        <f>'[1]программ обеспечение'!H11</f>
        <v>0</v>
      </c>
      <c r="P14" s="63">
        <f>'[1]программ обеспечение'!I11</f>
        <v>0</v>
      </c>
      <c r="Q14" s="63">
        <f>'[1]программ обеспечение'!J11</f>
        <v>0</v>
      </c>
      <c r="R14" s="63">
        <f>'[1]программ обеспечение'!K11</f>
        <v>0</v>
      </c>
      <c r="S14" s="63">
        <f>'[1]программ обеспечение'!L11</f>
        <v>0</v>
      </c>
      <c r="T14" s="63">
        <f>'[1]программ обеспечение'!M11</f>
        <v>0</v>
      </c>
      <c r="U14" s="70">
        <f>SUM(I14:T14)</f>
        <v>19728.13</v>
      </c>
      <c r="V14" s="69">
        <f>G14*$V$2</f>
        <v>29166.666666666668</v>
      </c>
      <c r="W14" s="54">
        <f>V14-U14</f>
        <v>9438.5366666666669</v>
      </c>
    </row>
    <row r="15" spans="1:24" ht="15.75" x14ac:dyDescent="0.25">
      <c r="A15" s="68" t="s">
        <v>32</v>
      </c>
      <c r="B15" s="67"/>
      <c r="C15" s="67"/>
      <c r="D15" s="67"/>
      <c r="E15" s="74"/>
      <c r="F15" s="66">
        <v>100000</v>
      </c>
      <c r="G15" s="65">
        <f>F15/12</f>
        <v>8333.3333333333339</v>
      </c>
      <c r="H15" s="64"/>
      <c r="I15" s="63">
        <f>'[1]услуги связи'!B7</f>
        <v>13213.33</v>
      </c>
      <c r="J15" s="63">
        <f>'[1]услуги связи'!C7</f>
        <v>20000</v>
      </c>
      <c r="K15" s="63">
        <f>'[1]услуги связи'!D7</f>
        <v>9000</v>
      </c>
      <c r="L15" s="63">
        <f>'[1]услуги связи'!E7</f>
        <v>8000</v>
      </c>
      <c r="M15" s="63">
        <f>'[1]услуги связи'!F7</f>
        <v>5000</v>
      </c>
      <c r="N15" s="63">
        <f>'[1]услуги связи'!G7</f>
        <v>6000</v>
      </c>
      <c r="O15" s="63">
        <f>'[1]услуги связи'!H7</f>
        <v>15000</v>
      </c>
      <c r="P15" s="63">
        <f>'[1]услуги связи'!I7</f>
        <v>0</v>
      </c>
      <c r="Q15" s="63">
        <f>'[1]услуги связи'!J7</f>
        <v>0</v>
      </c>
      <c r="R15" s="63">
        <f>'[1]услуги связи'!K7</f>
        <v>0</v>
      </c>
      <c r="S15" s="63">
        <f>'[1]услуги связи'!L7</f>
        <v>0</v>
      </c>
      <c r="T15" s="63">
        <f>'[1]услуги связи'!M7</f>
        <v>0</v>
      </c>
      <c r="U15" s="70">
        <f>SUM(I15:T15)</f>
        <v>76213.33</v>
      </c>
      <c r="V15" s="69">
        <f>G15*$V$2</f>
        <v>58333.333333333336</v>
      </c>
      <c r="W15" s="54">
        <f>V15-U15</f>
        <v>-17879.996666666666</v>
      </c>
    </row>
    <row r="16" spans="1:24" ht="15.75" x14ac:dyDescent="0.25">
      <c r="A16" s="73" t="s">
        <v>31</v>
      </c>
      <c r="B16" s="72"/>
      <c r="C16" s="72"/>
      <c r="D16" s="72"/>
      <c r="E16" s="76"/>
      <c r="F16" s="41">
        <v>7500000</v>
      </c>
      <c r="G16" s="65">
        <f>F16/12</f>
        <v>625000</v>
      </c>
      <c r="H16" s="39"/>
      <c r="I16" s="71">
        <f>'[1]з пл'!B6</f>
        <v>607993.30900000001</v>
      </c>
      <c r="J16" s="71">
        <f>'[1]з пл'!C6</f>
        <v>846319.86</v>
      </c>
      <c r="K16" s="71">
        <f>'[1]з пл'!D6</f>
        <v>523883.59</v>
      </c>
      <c r="L16" s="71">
        <f>'[1]з пл'!E6</f>
        <v>599763.37</v>
      </c>
      <c r="M16" s="75">
        <f>'[1]з пл'!F6</f>
        <v>520399.55</v>
      </c>
      <c r="N16" s="71">
        <f>'[1]з пл'!G6</f>
        <v>710981.64</v>
      </c>
      <c r="O16" s="63">
        <f>'[1]з пл'!H6</f>
        <v>982686.89999999991</v>
      </c>
      <c r="P16" s="63">
        <f>'[1]з пл'!I6</f>
        <v>0</v>
      </c>
      <c r="Q16" s="63">
        <f>'[1]з пл'!J6</f>
        <v>0</v>
      </c>
      <c r="R16" s="63">
        <f>'[1]з пл'!K6</f>
        <v>0</v>
      </c>
      <c r="S16" s="63">
        <f>'[1]з пл'!L6</f>
        <v>0</v>
      </c>
      <c r="T16" s="63">
        <f>'[1]з пл'!M6</f>
        <v>0</v>
      </c>
      <c r="U16" s="70">
        <f>SUM(I16:T16)</f>
        <v>4792028.2190000005</v>
      </c>
      <c r="V16" s="69">
        <f>G16*$V$2</f>
        <v>4375000</v>
      </c>
      <c r="W16" s="54">
        <f>V16-U16</f>
        <v>-417028.21900000051</v>
      </c>
    </row>
    <row r="17" spans="1:23" ht="15.75" x14ac:dyDescent="0.25">
      <c r="A17" s="73" t="s">
        <v>30</v>
      </c>
      <c r="B17" s="72"/>
      <c r="C17" s="72"/>
      <c r="D17" s="72"/>
      <c r="E17" s="72"/>
      <c r="F17" s="41">
        <v>500000</v>
      </c>
      <c r="G17" s="65">
        <f>F17/12</f>
        <v>41666.666666666664</v>
      </c>
      <c r="H17" s="39"/>
      <c r="I17" s="71">
        <f>'[1]премиальный фонд'!B5</f>
        <v>82861.11</v>
      </c>
      <c r="J17" s="71">
        <f>'[1]премиальный фонд'!C5</f>
        <v>6640.63</v>
      </c>
      <c r="K17" s="71">
        <f>'[1]премиальный фонд'!D5</f>
        <v>13426</v>
      </c>
      <c r="L17" s="71">
        <f>'[1]премиальный фонд'!E5</f>
        <v>8250</v>
      </c>
      <c r="M17" s="75">
        <f>'[1]премиальный фонд'!F5</f>
        <v>15152.68</v>
      </c>
      <c r="N17" s="71">
        <f>'[1]премиальный фонд'!G5</f>
        <v>11770.38</v>
      </c>
      <c r="O17" s="71">
        <f>'[1]премиальный фонд'!H5</f>
        <v>63326.64</v>
      </c>
      <c r="P17" s="71">
        <f>'[1]премиальный фонд'!I5</f>
        <v>0</v>
      </c>
      <c r="Q17" s="71">
        <f>'[1]премиальный фонд'!J5</f>
        <v>0</v>
      </c>
      <c r="R17" s="71">
        <f>'[1]премиальный фонд'!K5</f>
        <v>0</v>
      </c>
      <c r="S17" s="63">
        <f>'[1]премиальный фонд'!L5</f>
        <v>0</v>
      </c>
      <c r="T17" s="63">
        <f>'[1]премиальный фонд'!M5</f>
        <v>0</v>
      </c>
      <c r="U17" s="70">
        <f>SUM(I17:T17)</f>
        <v>201427.44</v>
      </c>
      <c r="V17" s="69">
        <f>G17*$V$2</f>
        <v>291666.66666666663</v>
      </c>
      <c r="W17" s="54">
        <f>V17-U17</f>
        <v>90239.226666666626</v>
      </c>
    </row>
    <row r="18" spans="1:23" ht="15.75" x14ac:dyDescent="0.25">
      <c r="A18" s="73" t="s">
        <v>29</v>
      </c>
      <c r="B18" s="72"/>
      <c r="C18" s="72"/>
      <c r="D18" s="72"/>
      <c r="E18" s="72"/>
      <c r="F18" s="41">
        <v>2420000</v>
      </c>
      <c r="G18" s="65">
        <f>F18/12</f>
        <v>201666.66666666666</v>
      </c>
      <c r="H18" s="39"/>
      <c r="I18" s="71">
        <f>'[1]налог с ФОТ'!B5</f>
        <v>180380.46</v>
      </c>
      <c r="J18" s="71">
        <f>'[1]налог с ФОТ'!C5</f>
        <v>181978.21000000002</v>
      </c>
      <c r="K18" s="71">
        <f>'[1]налог с ФОТ'!D5</f>
        <v>223859.49000000002</v>
      </c>
      <c r="L18" s="71">
        <f>'[1]налог с ФОТ'!E5</f>
        <v>130876.79999999999</v>
      </c>
      <c r="M18" s="75">
        <f>'[1]налог с ФОТ'!F5</f>
        <v>169873.41999999998</v>
      </c>
      <c r="N18" s="71">
        <f>'[1]налог с ФОТ'!G5</f>
        <v>221352.77000000002</v>
      </c>
      <c r="O18" s="71">
        <f>'[1]налог с ФОТ'!H5</f>
        <v>314385.86</v>
      </c>
      <c r="P18" s="71">
        <f>'[1]налог с ФОТ'!I5</f>
        <v>0</v>
      </c>
      <c r="Q18" s="71">
        <f>'[1]налог с ФОТ'!J5</f>
        <v>0</v>
      </c>
      <c r="R18" s="71">
        <f>'[1]налог с ФОТ'!K5</f>
        <v>0</v>
      </c>
      <c r="S18" s="63">
        <f>'[1]налог с ФОТ'!L5</f>
        <v>0</v>
      </c>
      <c r="T18" s="63">
        <f>'[1]налог с ФОТ'!M5</f>
        <v>0</v>
      </c>
      <c r="U18" s="70">
        <f>SUM(I18:T18)</f>
        <v>1422707.0099999998</v>
      </c>
      <c r="V18" s="69">
        <f>G18*$V$2</f>
        <v>1411666.6666666665</v>
      </c>
      <c r="W18" s="54">
        <f>V18-U18</f>
        <v>-11040.343333333265</v>
      </c>
    </row>
    <row r="19" spans="1:23" ht="15.75" x14ac:dyDescent="0.25">
      <c r="A19" s="73" t="s">
        <v>28</v>
      </c>
      <c r="B19" s="72"/>
      <c r="C19" s="72"/>
      <c r="D19" s="72"/>
      <c r="E19" s="72"/>
      <c r="F19" s="41">
        <v>150000</v>
      </c>
      <c r="G19" s="65">
        <f>F19/12</f>
        <v>12500</v>
      </c>
      <c r="H19" s="39"/>
      <c r="I19" s="71">
        <f>'[1]приобрт инвентаря и оборуд'!B16</f>
        <v>0</v>
      </c>
      <c r="J19" s="71">
        <f>'[1]приобрт инвентаря и оборуд'!C16</f>
        <v>0</v>
      </c>
      <c r="K19" s="71">
        <f>'[1]приобрт инвентаря и оборуд'!D16</f>
        <v>7603</v>
      </c>
      <c r="L19" s="71">
        <f>'[1]приобрт инвентаря и оборуд'!E16</f>
        <v>1579</v>
      </c>
      <c r="M19" s="71">
        <f>'[1]приобрт инвентаря и оборуд'!F16</f>
        <v>2858</v>
      </c>
      <c r="N19" s="71">
        <f>'[1]приобрт инвентаря и оборуд'!G16</f>
        <v>950</v>
      </c>
      <c r="O19" s="71">
        <f>'[1]приобрт инвентаря и оборуд'!H16</f>
        <v>1261</v>
      </c>
      <c r="P19" s="71">
        <f>'[1]приобрт инвентаря и оборуд'!I16</f>
        <v>0</v>
      </c>
      <c r="Q19" s="71">
        <f>'[1]приобрт инвентаря и оборуд'!J16</f>
        <v>0</v>
      </c>
      <c r="R19" s="71">
        <f>'[1]приобрт инвентаря и оборуд'!K16</f>
        <v>0</v>
      </c>
      <c r="S19" s="71">
        <f>'[1]приобрт инвентаря и оборуд'!L16</f>
        <v>0</v>
      </c>
      <c r="T19" s="71">
        <f>'[1]приобрт инвентаря и оборуд'!M16</f>
        <v>0</v>
      </c>
      <c r="U19" s="70">
        <f>SUM(I19:T19)</f>
        <v>14251</v>
      </c>
      <c r="V19" s="69">
        <f>G19*$V$2</f>
        <v>87500</v>
      </c>
      <c r="W19" s="54">
        <f>V19-U19</f>
        <v>73249</v>
      </c>
    </row>
    <row r="20" spans="1:23" ht="15.75" x14ac:dyDescent="0.25">
      <c r="A20" s="68" t="s">
        <v>27</v>
      </c>
      <c r="B20" s="67"/>
      <c r="C20" s="67"/>
      <c r="D20" s="67"/>
      <c r="E20" s="67"/>
      <c r="F20" s="66">
        <v>3900000</v>
      </c>
      <c r="G20" s="65">
        <f>F20/12</f>
        <v>325000</v>
      </c>
      <c r="H20" s="64"/>
      <c r="I20" s="63">
        <f>'[1]вывоз мусора'!B10</f>
        <v>430000</v>
      </c>
      <c r="J20" s="63">
        <f>'[1]вывоз мусора'!C10</f>
        <v>340000</v>
      </c>
      <c r="K20" s="63">
        <f>'[1]вывоз мусора'!D10</f>
        <v>370000</v>
      </c>
      <c r="L20" s="63">
        <f>'[1]вывоз мусора'!E10</f>
        <v>380000</v>
      </c>
      <c r="M20" s="63">
        <f>'[1]вывоз мусора'!F10</f>
        <v>423000</v>
      </c>
      <c r="N20" s="63">
        <f>'[1]вывоз мусора'!G10</f>
        <v>603000</v>
      </c>
      <c r="O20" s="63">
        <f>'[1]вывоз мусора'!H10</f>
        <v>351000</v>
      </c>
      <c r="P20" s="63">
        <f>'[1]вывоз мусора'!I10</f>
        <v>0</v>
      </c>
      <c r="Q20" s="63">
        <f>'[1]вывоз мусора'!J10</f>
        <v>0</v>
      </c>
      <c r="R20" s="63">
        <f>'[1]вывоз мусора'!K10</f>
        <v>0</v>
      </c>
      <c r="S20" s="63">
        <f>'[1]вывоз мусора'!L10</f>
        <v>0</v>
      </c>
      <c r="T20" s="63">
        <f>'[1]вывоз мусора'!M10</f>
        <v>0</v>
      </c>
      <c r="U20" s="70">
        <f>SUM(I20:T20)</f>
        <v>2897000</v>
      </c>
      <c r="V20" s="69">
        <f>G20*$V$2</f>
        <v>2275000</v>
      </c>
      <c r="W20" s="54">
        <f>V20-U20</f>
        <v>-622000</v>
      </c>
    </row>
    <row r="21" spans="1:23" ht="15.75" x14ac:dyDescent="0.25">
      <c r="A21" s="68" t="s">
        <v>26</v>
      </c>
      <c r="B21" s="67"/>
      <c r="C21" s="67"/>
      <c r="D21" s="67"/>
      <c r="E21" s="74"/>
      <c r="F21" s="66">
        <v>6210000</v>
      </c>
      <c r="G21" s="65">
        <f>F21/12</f>
        <v>517500</v>
      </c>
      <c r="H21" s="64"/>
      <c r="I21" s="63">
        <f>'[1]сод охраны'!B7</f>
        <v>0</v>
      </c>
      <c r="J21" s="63">
        <f>'[1]сод охраны'!C7</f>
        <v>517121.4</v>
      </c>
      <c r="K21" s="63">
        <f>'[1]сод охраны'!D7</f>
        <v>517121.4</v>
      </c>
      <c r="L21" s="63">
        <f>'[1]сод охраны'!E7</f>
        <v>517121.4</v>
      </c>
      <c r="M21" s="63">
        <f>'[1]сод охраны'!F7</f>
        <v>517121.4</v>
      </c>
      <c r="N21" s="63">
        <f>'[1]сод охраны'!G7</f>
        <v>517121.4</v>
      </c>
      <c r="O21" s="63">
        <f>'[1]сод охраны'!H7</f>
        <v>1034242.8</v>
      </c>
      <c r="P21" s="63">
        <f>'[1]сод охраны'!I7</f>
        <v>0</v>
      </c>
      <c r="Q21" s="63">
        <f>'[1]сод охраны'!J7</f>
        <v>0</v>
      </c>
      <c r="R21" s="63">
        <f>'[1]сод охраны'!K7</f>
        <v>0</v>
      </c>
      <c r="S21" s="63">
        <f>'[1]сод охраны'!L7</f>
        <v>0</v>
      </c>
      <c r="T21" s="63">
        <f>'[1]сод охраны'!M7</f>
        <v>0</v>
      </c>
      <c r="U21" s="70">
        <f>SUM(I21:T21)</f>
        <v>3619849.8</v>
      </c>
      <c r="V21" s="69">
        <f>G21*$V$2</f>
        <v>3622500</v>
      </c>
      <c r="W21" s="54">
        <f>V21-U21</f>
        <v>2650.2000000001863</v>
      </c>
    </row>
    <row r="22" spans="1:23" ht="15.75" x14ac:dyDescent="0.25">
      <c r="A22" s="73" t="s">
        <v>25</v>
      </c>
      <c r="B22" s="72"/>
      <c r="C22" s="72"/>
      <c r="D22" s="72"/>
      <c r="E22" s="72"/>
      <c r="F22" s="41">
        <v>250000</v>
      </c>
      <c r="G22" s="65">
        <f>F22/12</f>
        <v>20833.333333333332</v>
      </c>
      <c r="H22" s="39"/>
      <c r="I22" s="71">
        <f>'[1]содерж газ оборуд'!B6</f>
        <v>20697.669999999998</v>
      </c>
      <c r="J22" s="71">
        <f>'[1]содерж газ оборуд'!C6</f>
        <v>20697.669999999998</v>
      </c>
      <c r="K22" s="71">
        <f>'[1]содерж газ оборуд'!D6</f>
        <v>20697.669999999998</v>
      </c>
      <c r="L22" s="71">
        <f>'[1]содерж газ оборуд'!E6</f>
        <v>20697.669999999998</v>
      </c>
      <c r="M22" s="71">
        <f>'[1]содерж газ оборуд'!F6</f>
        <v>20697.669999999998</v>
      </c>
      <c r="N22" s="71">
        <f>'[1]содерж газ оборуд'!G6</f>
        <v>20697.669999999998</v>
      </c>
      <c r="O22" s="71">
        <f>'[1]содерж газ оборуд'!H6</f>
        <v>41395.4</v>
      </c>
      <c r="P22" s="71">
        <f>'[1]содерж газ оборуд'!I6</f>
        <v>0</v>
      </c>
      <c r="Q22" s="71">
        <f>'[1]содерж газ оборуд'!J6</f>
        <v>0</v>
      </c>
      <c r="R22" s="71">
        <f>'[1]содерж газ оборуд'!K6</f>
        <v>0</v>
      </c>
      <c r="S22" s="71">
        <f>'[1]содерж газ оборуд'!L6</f>
        <v>0</v>
      </c>
      <c r="T22" s="71">
        <f>'[1]содерж газ оборуд'!M6</f>
        <v>0</v>
      </c>
      <c r="U22" s="70">
        <f>SUM(I22:T22)</f>
        <v>165581.41999999998</v>
      </c>
      <c r="V22" s="69">
        <f>G22*$V$2</f>
        <v>145833.33333333331</v>
      </c>
      <c r="W22" s="54">
        <f>V22-U22</f>
        <v>-19748.08666666667</v>
      </c>
    </row>
    <row r="23" spans="1:23" ht="15.75" x14ac:dyDescent="0.25">
      <c r="A23" s="68" t="s">
        <v>24</v>
      </c>
      <c r="B23" s="67"/>
      <c r="C23" s="67"/>
      <c r="D23" s="67"/>
      <c r="E23" s="67"/>
      <c r="F23" s="66">
        <v>400000</v>
      </c>
      <c r="G23" s="65">
        <f>F23/12</f>
        <v>33333.333333333336</v>
      </c>
      <c r="H23" s="64"/>
      <c r="I23" s="63">
        <f>'[1]сод сетей водоснабжения'!B27</f>
        <v>0</v>
      </c>
      <c r="J23" s="63">
        <f>'[1]сод сетей водоснабжения'!C27</f>
        <v>32951</v>
      </c>
      <c r="K23" s="63">
        <f>'[1]сод сетей водоснабжения'!D27</f>
        <v>15533</v>
      </c>
      <c r="L23" s="63">
        <f>'[1]сод сетей водоснабжения'!E27</f>
        <v>59031.039999999994</v>
      </c>
      <c r="M23" s="63">
        <f>'[1]сод сетей водоснабжения'!F27</f>
        <v>65381</v>
      </c>
      <c r="N23" s="63">
        <f>'[1]сод сетей водоснабжения'!G27</f>
        <v>63974.479999999996</v>
      </c>
      <c r="O23" s="63">
        <f>'[1]сод сетей водоснабжения'!H27</f>
        <v>31066</v>
      </c>
      <c r="P23" s="63">
        <f>'[1]сод сетей водоснабжения'!I27</f>
        <v>0</v>
      </c>
      <c r="Q23" s="63">
        <f>'[1]сод сетей водоснабжения'!J27</f>
        <v>0</v>
      </c>
      <c r="R23" s="63">
        <f>'[1]сод сетей водоснабжения'!K27</f>
        <v>0</v>
      </c>
      <c r="S23" s="63">
        <f>'[1]сод сетей водоснабжения'!L27</f>
        <v>0</v>
      </c>
      <c r="T23" s="63">
        <f>'[1]сод сетей водоснабжения'!M27</f>
        <v>0</v>
      </c>
      <c r="U23" s="70">
        <f>SUM(I23:T23)</f>
        <v>267936.51999999996</v>
      </c>
      <c r="V23" s="69">
        <f>G23*$V$2</f>
        <v>233333.33333333334</v>
      </c>
      <c r="W23" s="54">
        <f>V23-U23</f>
        <v>-34603.186666666617</v>
      </c>
    </row>
    <row r="24" spans="1:23" ht="15.75" x14ac:dyDescent="0.25">
      <c r="A24" s="68" t="s">
        <v>23</v>
      </c>
      <c r="B24" s="67"/>
      <c r="C24" s="67"/>
      <c r="D24" s="67"/>
      <c r="E24" s="67"/>
      <c r="F24" s="66">
        <v>250000</v>
      </c>
      <c r="G24" s="65">
        <f>F24/12</f>
        <v>20833.333333333332</v>
      </c>
      <c r="H24" s="64"/>
      <c r="I24" s="63">
        <f>'[1]сод сетей канализации'!B27</f>
        <v>1565</v>
      </c>
      <c r="J24" s="63">
        <f>'[1]сод сетей канализации'!C27</f>
        <v>31275</v>
      </c>
      <c r="K24" s="63">
        <f>'[1]сод сетей канализации'!D27</f>
        <v>6146</v>
      </c>
      <c r="L24" s="63">
        <f>'[1]сод сетей канализации'!E27</f>
        <v>5126</v>
      </c>
      <c r="M24" s="63">
        <f>'[1]сод сетей канализации'!F27</f>
        <v>2560.6</v>
      </c>
      <c r="N24" s="63">
        <f>'[1]сод сетей канализации'!G27</f>
        <v>0</v>
      </c>
      <c r="O24" s="63">
        <f>'[1]сод сетей канализации'!H27</f>
        <v>2506</v>
      </c>
      <c r="P24" s="63">
        <f>'[1]сод сетей канализации'!I27</f>
        <v>0</v>
      </c>
      <c r="Q24" s="63">
        <f>'[1]сод сетей канализации'!J27</f>
        <v>0</v>
      </c>
      <c r="R24" s="63">
        <f>'[1]сод сетей канализации'!K27</f>
        <v>0</v>
      </c>
      <c r="S24" s="63">
        <f>'[1]сод сетей канализации'!L27</f>
        <v>0</v>
      </c>
      <c r="T24" s="63">
        <f>'[1]сод сетей канализации'!M27</f>
        <v>0</v>
      </c>
      <c r="U24" s="70">
        <f>SUM(I24:T24)</f>
        <v>49178.6</v>
      </c>
      <c r="V24" s="69">
        <f>G24*$V$2</f>
        <v>145833.33333333331</v>
      </c>
      <c r="W24" s="54">
        <f>V24-U24</f>
        <v>96654.733333333308</v>
      </c>
    </row>
    <row r="25" spans="1:23" ht="15.75" x14ac:dyDescent="0.25">
      <c r="A25" s="68" t="s">
        <v>22</v>
      </c>
      <c r="B25" s="67"/>
      <c r="C25" s="67"/>
      <c r="D25" s="67"/>
      <c r="E25" s="67"/>
      <c r="F25" s="66">
        <v>150000</v>
      </c>
      <c r="G25" s="65">
        <f>F25/12</f>
        <v>12500</v>
      </c>
      <c r="H25" s="64"/>
      <c r="I25" s="63">
        <f>'[1]ремонт канализации'!B21</f>
        <v>0</v>
      </c>
      <c r="J25" s="63">
        <f>'[1]ремонт канализации'!C21</f>
        <v>16300</v>
      </c>
      <c r="K25" s="63">
        <f>'[1]ремонт канализации'!D21</f>
        <v>16300</v>
      </c>
      <c r="L25" s="63">
        <f>'[1]ремонт канализации'!E21</f>
        <v>19300</v>
      </c>
      <c r="M25" s="63">
        <f>'[1]ремонт канализации'!F21</f>
        <v>16300</v>
      </c>
      <c r="N25" s="63">
        <f>'[1]ремонт канализации'!G21</f>
        <v>16300</v>
      </c>
      <c r="O25" s="63">
        <f>'[1]ремонт канализации'!H21</f>
        <v>18300</v>
      </c>
      <c r="P25" s="63">
        <f>'[1]ремонт канализации'!I21</f>
        <v>0</v>
      </c>
      <c r="Q25" s="63">
        <f>'[1]ремонт канализации'!J21</f>
        <v>0</v>
      </c>
      <c r="R25" s="63">
        <f>'[1]ремонт канализации'!K21</f>
        <v>0</v>
      </c>
      <c r="S25" s="63">
        <f>'[1]ремонт канализации'!L21</f>
        <v>0</v>
      </c>
      <c r="T25" s="63">
        <f>'[1]ремонт канализации'!M21</f>
        <v>0</v>
      </c>
      <c r="U25" s="70">
        <f>SUM(I25:T25)</f>
        <v>102800</v>
      </c>
      <c r="V25" s="69">
        <f>G25*$V$2</f>
        <v>87500</v>
      </c>
      <c r="W25" s="54">
        <f>V25-U25</f>
        <v>-15300</v>
      </c>
    </row>
    <row r="26" spans="1:23" ht="15.75" x14ac:dyDescent="0.25">
      <c r="A26" s="68" t="s">
        <v>21</v>
      </c>
      <c r="B26" s="67"/>
      <c r="C26" s="67"/>
      <c r="D26" s="67"/>
      <c r="E26" s="67"/>
      <c r="F26" s="66">
        <v>150000</v>
      </c>
      <c r="G26" s="65">
        <f>F26/12</f>
        <v>12500</v>
      </c>
      <c r="H26" s="64"/>
      <c r="I26" s="63">
        <f>'[1]сод сетей эл.снабж'!B19</f>
        <v>2498.1999999999998</v>
      </c>
      <c r="J26" s="63">
        <f>'[1]сод сетей эл.снабж'!C19</f>
        <v>9360</v>
      </c>
      <c r="K26" s="63">
        <f>'[1]сод сетей эл.снабж'!D19</f>
        <v>0</v>
      </c>
      <c r="L26" s="63">
        <f>'[1]сод сетей эл.снабж'!E19</f>
        <v>0</v>
      </c>
      <c r="M26" s="63">
        <f>'[1]сод сетей эл.снабж'!F19</f>
        <v>10656</v>
      </c>
      <c r="N26" s="63">
        <f>'[1]сод сетей эл.снабж'!G19</f>
        <v>5830</v>
      </c>
      <c r="O26" s="63">
        <f>'[1]сод сетей эл.снабж'!H19</f>
        <v>0</v>
      </c>
      <c r="P26" s="63">
        <f>'[1]сод сетей эл.снабж'!I19</f>
        <v>0</v>
      </c>
      <c r="Q26" s="63">
        <f>'[1]сод сетей эл.снабж'!J19</f>
        <v>0</v>
      </c>
      <c r="R26" s="63">
        <f>'[1]сод сетей эл.снабж'!K19</f>
        <v>0</v>
      </c>
      <c r="S26" s="63">
        <f>'[1]сод сетей эл.снабж'!L19</f>
        <v>0</v>
      </c>
      <c r="T26" s="63">
        <f>'[1]сод сетей эл.снабж'!M19</f>
        <v>0</v>
      </c>
      <c r="U26" s="70">
        <f>SUM(I26:T26)</f>
        <v>28344.2</v>
      </c>
      <c r="V26" s="69">
        <f>G26*$V$2</f>
        <v>87500</v>
      </c>
      <c r="W26" s="54">
        <f>V26-U26</f>
        <v>59155.8</v>
      </c>
    </row>
    <row r="27" spans="1:23" ht="15.75" x14ac:dyDescent="0.25">
      <c r="A27" s="68" t="s">
        <v>20</v>
      </c>
      <c r="B27" s="67"/>
      <c r="C27" s="67"/>
      <c r="D27" s="67"/>
      <c r="E27" s="67"/>
      <c r="F27" s="66">
        <v>2300000</v>
      </c>
      <c r="G27" s="65">
        <f>F27/12</f>
        <v>191666.66666666666</v>
      </c>
      <c r="H27" s="64"/>
      <c r="I27" s="63">
        <f>'[1]эл.эн на общ нужды'!B6</f>
        <v>131952.95000000001</v>
      </c>
      <c r="J27" s="63">
        <f>'[1]эл.эн на общ нужды'!C6</f>
        <v>119523.9</v>
      </c>
      <c r="K27" s="63">
        <f>'[1]эл.эн на общ нужды'!D6</f>
        <v>70762</v>
      </c>
      <c r="L27" s="63">
        <f>'[1]эл.эн на общ нужды'!E6</f>
        <v>114411.91</v>
      </c>
      <c r="M27" s="63">
        <f>'[1]эл.эн на общ нужды'!F6</f>
        <v>133377.34</v>
      </c>
      <c r="N27" s="63">
        <f>'[1]эл.эн на общ нужды'!G6</f>
        <v>144968.57999999999</v>
      </c>
      <c r="O27" s="63">
        <f>'[1]эл.эн на общ нужды'!H6</f>
        <v>177184.52</v>
      </c>
      <c r="P27" s="63">
        <f>'[1]эл.эн на общ нужды'!I6</f>
        <v>0</v>
      </c>
      <c r="Q27" s="63">
        <f>'[1]эл.эн на общ нужды'!J6</f>
        <v>0</v>
      </c>
      <c r="R27" s="63">
        <f>'[1]эл.эн на общ нужды'!K6</f>
        <v>0</v>
      </c>
      <c r="S27" s="63">
        <f>'[1]эл.эн на общ нужды'!L6</f>
        <v>0</v>
      </c>
      <c r="T27" s="63">
        <f>'[1]эл.эн на общ нужды'!M6</f>
        <v>0</v>
      </c>
      <c r="U27" s="70">
        <f>SUM(I27:T27)</f>
        <v>892181.2</v>
      </c>
      <c r="V27" s="69">
        <f>G27*$V$2</f>
        <v>1341666.6666666665</v>
      </c>
      <c r="W27" s="54">
        <f>V27-U27</f>
        <v>449485.46666666656</v>
      </c>
    </row>
    <row r="28" spans="1:23" ht="15.75" x14ac:dyDescent="0.25">
      <c r="A28" s="68" t="s">
        <v>19</v>
      </c>
      <c r="B28" s="67"/>
      <c r="C28" s="67"/>
      <c r="D28" s="67"/>
      <c r="E28" s="67"/>
      <c r="F28" s="66">
        <v>250000</v>
      </c>
      <c r="G28" s="65">
        <f>F28/12</f>
        <v>20833.333333333332</v>
      </c>
      <c r="H28" s="64"/>
      <c r="I28" s="63">
        <f>'[1]содерж дорог'!B35</f>
        <v>35610</v>
      </c>
      <c r="J28" s="63">
        <f>'[1]содерж дорог'!C35</f>
        <v>44383.6</v>
      </c>
      <c r="K28" s="63">
        <f>'[1]содерж дорог'!D35</f>
        <v>1839.6</v>
      </c>
      <c r="L28" s="63">
        <f>'[1]содерж дорог'!E35</f>
        <v>49364.52</v>
      </c>
      <c r="M28" s="63">
        <f>'[1]содерж дорог'!F35</f>
        <v>97762.040000000008</v>
      </c>
      <c r="N28" s="63">
        <f>'[1]содерж дорог'!G35</f>
        <v>11655</v>
      </c>
      <c r="O28" s="63">
        <f>'[1]содерж дорог'!H35</f>
        <v>26519</v>
      </c>
      <c r="P28" s="63">
        <f>'[1]содерж дорог'!I35</f>
        <v>0</v>
      </c>
      <c r="Q28" s="63">
        <f>'[1]содерж дорог'!J35</f>
        <v>0</v>
      </c>
      <c r="R28" s="63">
        <f>'[1]содерж дорог'!K35</f>
        <v>0</v>
      </c>
      <c r="S28" s="63">
        <f>'[1]содерж дорог'!L35</f>
        <v>0</v>
      </c>
      <c r="T28" s="63">
        <f>'[1]содерж дорог'!M35</f>
        <v>0</v>
      </c>
      <c r="U28" s="70">
        <f>SUM(I28:T28)</f>
        <v>267133.76</v>
      </c>
      <c r="V28" s="69">
        <f>G28*$V$2</f>
        <v>145833.33333333331</v>
      </c>
      <c r="W28" s="54">
        <f>V28-U28</f>
        <v>-121300.4266666667</v>
      </c>
    </row>
    <row r="29" spans="1:23" ht="15.75" x14ac:dyDescent="0.25">
      <c r="A29" s="68" t="s">
        <v>18</v>
      </c>
      <c r="B29" s="67"/>
      <c r="C29" s="67"/>
      <c r="D29" s="67"/>
      <c r="E29" s="67"/>
      <c r="F29" s="66">
        <v>250000</v>
      </c>
      <c r="G29" s="65">
        <f>F29/12</f>
        <v>20833.333333333332</v>
      </c>
      <c r="H29" s="64"/>
      <c r="I29" s="63">
        <f>[1]благоустройство!B36</f>
        <v>51273</v>
      </c>
      <c r="J29" s="63">
        <f>[1]благоустройство!C36</f>
        <v>4473.62</v>
      </c>
      <c r="K29" s="63">
        <f>[1]благоустройство!D36</f>
        <v>1038</v>
      </c>
      <c r="L29" s="63">
        <f>[1]благоустройство!E36</f>
        <v>69850.599999999991</v>
      </c>
      <c r="M29" s="63">
        <f>[1]благоустройство!F36</f>
        <v>0</v>
      </c>
      <c r="N29" s="63">
        <f>[1]благоустройство!G36</f>
        <v>46952.009999999995</v>
      </c>
      <c r="O29" s="63">
        <f>[1]благоустройство!H36</f>
        <v>38566</v>
      </c>
      <c r="P29" s="63">
        <f>[1]благоустройство!I36</f>
        <v>0</v>
      </c>
      <c r="Q29" s="63">
        <f>[1]благоустройство!J36</f>
        <v>0</v>
      </c>
      <c r="R29" s="63">
        <f>[1]благоустройство!K36</f>
        <v>0</v>
      </c>
      <c r="S29" s="63">
        <f>[1]благоустройство!L36</f>
        <v>0</v>
      </c>
      <c r="T29" s="63">
        <f>[1]благоустройство!M36</f>
        <v>0</v>
      </c>
      <c r="U29" s="70">
        <f>SUM(I29:T29)</f>
        <v>212153.22999999998</v>
      </c>
      <c r="V29" s="69">
        <f>G29*$V$2</f>
        <v>145833.33333333331</v>
      </c>
      <c r="W29" s="54">
        <f>V29-U29</f>
        <v>-66319.896666666667</v>
      </c>
    </row>
    <row r="30" spans="1:23" ht="15.75" x14ac:dyDescent="0.25">
      <c r="A30" s="68" t="s">
        <v>17</v>
      </c>
      <c r="B30" s="67"/>
      <c r="C30" s="67"/>
      <c r="D30" s="67"/>
      <c r="E30" s="67"/>
      <c r="F30" s="66">
        <v>650000</v>
      </c>
      <c r="G30" s="65" t="s">
        <v>5</v>
      </c>
      <c r="H30" s="64"/>
      <c r="I30" s="63">
        <f>'[1]ямочный ремонт'!B11</f>
        <v>0</v>
      </c>
      <c r="J30" s="63">
        <f>'[1]ямочный ремонт'!C11</f>
        <v>161813.73000000001</v>
      </c>
      <c r="K30" s="63">
        <f>'[1]ямочный ремонт'!D11</f>
        <v>271816.26</v>
      </c>
      <c r="L30" s="63">
        <f>'[1]ямочный ремонт'!E11</f>
        <v>0</v>
      </c>
      <c r="M30" s="63">
        <f>'[1]ямочный ремонт'!F11</f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56">
        <f>SUM(I30:T30)</f>
        <v>433629.99</v>
      </c>
      <c r="V30" s="55">
        <f>F30</f>
        <v>650000</v>
      </c>
      <c r="W30" s="54">
        <f>V30-U30</f>
        <v>216370.01</v>
      </c>
    </row>
    <row r="31" spans="1:23" ht="15.75" x14ac:dyDescent="0.25">
      <c r="A31" s="68" t="s">
        <v>16</v>
      </c>
      <c r="B31" s="67"/>
      <c r="C31" s="67"/>
      <c r="D31" s="67"/>
      <c r="E31" s="67"/>
      <c r="F31" s="66">
        <v>800000</v>
      </c>
      <c r="G31" s="65" t="s">
        <v>5</v>
      </c>
      <c r="H31" s="64"/>
      <c r="I31" s="63">
        <f>507210</f>
        <v>507210</v>
      </c>
      <c r="J31" s="63">
        <v>75790</v>
      </c>
      <c r="K31" s="63">
        <v>0</v>
      </c>
      <c r="L31" s="63">
        <v>0</v>
      </c>
      <c r="M31" s="63">
        <v>117000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56">
        <f>SUM(I31:T31)</f>
        <v>700000</v>
      </c>
      <c r="V31" s="55">
        <f>F31</f>
        <v>800000</v>
      </c>
      <c r="W31" s="54">
        <f>V31-U31</f>
        <v>100000</v>
      </c>
    </row>
    <row r="32" spans="1:23" ht="15.75" x14ac:dyDescent="0.25">
      <c r="A32" s="62" t="s">
        <v>15</v>
      </c>
      <c r="B32" s="61"/>
      <c r="C32" s="61"/>
      <c r="D32" s="61"/>
      <c r="E32" s="61"/>
      <c r="F32" s="60">
        <v>241600</v>
      </c>
      <c r="G32" s="59" t="s">
        <v>5</v>
      </c>
      <c r="H32" s="58"/>
      <c r="I32" s="57">
        <v>0</v>
      </c>
      <c r="J32" s="57">
        <f>25740+3393+234+5967+77000+10150+700+17850+51260+6757+466+11883</f>
        <v>211400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6">
        <f>SUM(I32:T32)</f>
        <v>211400</v>
      </c>
      <c r="V32" s="55">
        <f>F32</f>
        <v>241600</v>
      </c>
      <c r="W32" s="54">
        <f>V32-U32</f>
        <v>30200</v>
      </c>
    </row>
    <row r="33" spans="1:24" ht="16.5" thickBot="1" x14ac:dyDescent="0.3">
      <c r="A33" s="53" t="s">
        <v>14</v>
      </c>
      <c r="B33" s="52"/>
      <c r="C33" s="52"/>
      <c r="D33" s="52"/>
      <c r="E33" s="52"/>
      <c r="F33" s="51">
        <v>1363580</v>
      </c>
      <c r="G33" s="50">
        <f>F33/12</f>
        <v>113631.66666666667</v>
      </c>
      <c r="H33" s="49"/>
      <c r="I33" s="48">
        <f>'[1]резервный фонд'!B30</f>
        <v>22692</v>
      </c>
      <c r="J33" s="48">
        <f>'[1]резервный фонд'!C30</f>
        <v>85301.17</v>
      </c>
      <c r="K33" s="48">
        <f>'[1]резервный фонд'!D30</f>
        <v>0</v>
      </c>
      <c r="L33" s="48">
        <f>'[1]резервный фонд'!E30</f>
        <v>365004.17</v>
      </c>
      <c r="M33" s="48">
        <f>'[1]резервный фонд'!F30</f>
        <v>134978.35</v>
      </c>
      <c r="N33" s="48">
        <f>'[1]резервный фонд'!G30</f>
        <v>54278.01</v>
      </c>
      <c r="O33" s="48">
        <f>'[1]резервный фонд'!H30</f>
        <v>95548.75</v>
      </c>
      <c r="P33" s="48">
        <f>'[1]резервный фонд'!I30</f>
        <v>0</v>
      </c>
      <c r="Q33" s="48">
        <f>'[1]резервный фонд'!J30</f>
        <v>0</v>
      </c>
      <c r="R33" s="48">
        <f>'[1]резервный фонд'!K30</f>
        <v>0</v>
      </c>
      <c r="S33" s="48">
        <f>'[1]резервный фонд'!L30</f>
        <v>0</v>
      </c>
      <c r="T33" s="48">
        <f>'[1]резервный фонд'!M30</f>
        <v>0</v>
      </c>
      <c r="U33" s="47">
        <f>SUM(I33:T33)</f>
        <v>757802.45</v>
      </c>
      <c r="V33" s="47">
        <f>G33*V2</f>
        <v>795421.66666666674</v>
      </c>
      <c r="W33" s="46">
        <f>V33-U33</f>
        <v>37619.216666666791</v>
      </c>
      <c r="X33" s="45"/>
    </row>
    <row r="34" spans="1:24" ht="15.75" x14ac:dyDescent="0.25">
      <c r="A34" s="44" t="s">
        <v>13</v>
      </c>
      <c r="B34" s="43"/>
      <c r="C34" s="43"/>
      <c r="D34" s="43"/>
      <c r="E34" s="42"/>
      <c r="F34" s="41">
        <f>SUM(F13:F33)</f>
        <v>28635180</v>
      </c>
      <c r="G34" s="40">
        <f>SUM(G13:G33)</f>
        <v>2245298.333333333</v>
      </c>
      <c r="H34" s="39"/>
      <c r="I34" s="38">
        <f>SUM(I13:I33)</f>
        <v>2164232.1689999998</v>
      </c>
      <c r="J34" s="38">
        <f>SUM(J13:J33)</f>
        <v>2787758.62</v>
      </c>
      <c r="K34" s="38">
        <f>SUM(K13:K33)</f>
        <v>2111818.96</v>
      </c>
      <c r="L34" s="37">
        <f>SUM(L13:L33)</f>
        <v>2483333.11</v>
      </c>
      <c r="M34" s="37">
        <f>SUM(M13:M33)</f>
        <v>2324243.56</v>
      </c>
      <c r="N34" s="37">
        <f>SUM(N13:N33)</f>
        <v>2500952.5899999994</v>
      </c>
      <c r="O34" s="37">
        <f>SUM(O13:O33)</f>
        <v>3274743.6899999995</v>
      </c>
      <c r="P34" s="37">
        <f>SUM(P13:P33)</f>
        <v>0</v>
      </c>
      <c r="Q34" s="37">
        <f>SUM(Q13:Q33)</f>
        <v>0</v>
      </c>
      <c r="R34" s="37">
        <f>SUM(R13:R33)</f>
        <v>0</v>
      </c>
      <c r="S34" s="37">
        <f>SUM(S13:S33)</f>
        <v>0</v>
      </c>
      <c r="T34" s="37">
        <f>SUM(T13:T33)</f>
        <v>0</v>
      </c>
      <c r="U34" s="36">
        <f>SUM(U13:U33)</f>
        <v>17647082.698999997</v>
      </c>
      <c r="V34" s="36">
        <f>SUM(V13:V33)</f>
        <v>17408688.333333336</v>
      </c>
      <c r="W34" s="36">
        <f>SUM(W13:W33)</f>
        <v>-238394.36566666723</v>
      </c>
    </row>
    <row r="36" spans="1:24" ht="15.75" x14ac:dyDescent="0.25">
      <c r="A36" s="35" t="s">
        <v>12</v>
      </c>
      <c r="B36" s="34"/>
      <c r="C36" s="34"/>
      <c r="D36" s="34"/>
      <c r="E36" s="30"/>
      <c r="F36" s="33">
        <v>4000000</v>
      </c>
      <c r="G36" s="32" t="s">
        <v>5</v>
      </c>
      <c r="H36" s="30"/>
      <c r="I36" s="31">
        <f>'[1]Ремонт водопров. (закольцовка)'!B17</f>
        <v>1908095</v>
      </c>
      <c r="J36" s="31">
        <f>'[1]Ремонт водопров. (закольцовка)'!C17</f>
        <v>548220</v>
      </c>
      <c r="K36" s="31">
        <f>'[1]Ремонт водопров. (закольцовка)'!D17</f>
        <v>545371.25</v>
      </c>
      <c r="L36" s="31">
        <f>'[1]Ремонт водопров. (закольцовка)'!E17</f>
        <v>100000</v>
      </c>
      <c r="M36" s="31">
        <f>'[1]Ремонт водопров. (закольцовка)'!F17</f>
        <v>751928.17</v>
      </c>
      <c r="N36" s="31">
        <f>'[1]Ремонт водопров. (закольцовка)'!G17</f>
        <v>0</v>
      </c>
      <c r="O36" s="31">
        <f>'[1]Ремонт водопров. (закольцовка)'!H17</f>
        <v>0</v>
      </c>
      <c r="P36" s="31">
        <f>'[1]Ремонт водопров. (закольцовка)'!I17</f>
        <v>0</v>
      </c>
      <c r="Q36" s="31">
        <f>'[1]Ремонт водопров. (закольцовка)'!J17</f>
        <v>0</v>
      </c>
      <c r="R36" s="31">
        <f>'[1]Ремонт водопров. (закольцовка)'!K17</f>
        <v>0</v>
      </c>
      <c r="S36" s="31">
        <v>0</v>
      </c>
      <c r="T36" s="30">
        <v>0</v>
      </c>
      <c r="U36" s="28">
        <f>SUM(I36:T36)</f>
        <v>3853614.42</v>
      </c>
      <c r="V36" s="29" t="s">
        <v>5</v>
      </c>
      <c r="W36" s="28">
        <f>F36-U36</f>
        <v>146385.58000000007</v>
      </c>
    </row>
    <row r="37" spans="1:24" ht="15.75" x14ac:dyDescent="0.25">
      <c r="A37" s="35" t="s">
        <v>11</v>
      </c>
      <c r="B37" s="34"/>
      <c r="C37" s="34"/>
      <c r="D37" s="34"/>
      <c r="E37" s="30"/>
      <c r="F37" s="33">
        <v>200000</v>
      </c>
      <c r="G37" s="32" t="s">
        <v>5</v>
      </c>
      <c r="H37" s="30"/>
      <c r="I37" s="31">
        <v>115000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0"/>
      <c r="U37" s="28">
        <f>SUM(I37:T37)</f>
        <v>115000</v>
      </c>
      <c r="V37" s="29" t="s">
        <v>5</v>
      </c>
      <c r="W37" s="28">
        <f>F37-U37</f>
        <v>85000</v>
      </c>
    </row>
    <row r="38" spans="1:24" ht="15.75" x14ac:dyDescent="0.25">
      <c r="A38" s="35" t="s">
        <v>10</v>
      </c>
      <c r="B38" s="34"/>
      <c r="C38" s="34"/>
      <c r="D38" s="34"/>
      <c r="E38" s="30"/>
      <c r="F38" s="33">
        <v>200000</v>
      </c>
      <c r="G38" s="32" t="s">
        <v>5</v>
      </c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0"/>
      <c r="U38" s="28">
        <f>SUM(I38:T38)</f>
        <v>0</v>
      </c>
      <c r="V38" s="29" t="s">
        <v>5</v>
      </c>
      <c r="W38" s="28">
        <f>F38-U38</f>
        <v>200000</v>
      </c>
    </row>
    <row r="39" spans="1:24" ht="15.75" x14ac:dyDescent="0.25">
      <c r="A39" s="35" t="s">
        <v>9</v>
      </c>
      <c r="B39" s="34"/>
      <c r="C39" s="34"/>
      <c r="D39" s="34"/>
      <c r="E39" s="30"/>
      <c r="F39" s="33">
        <v>1000000</v>
      </c>
      <c r="G39" s="32" t="s">
        <v>5</v>
      </c>
      <c r="H39" s="30"/>
      <c r="I39" s="31">
        <f>[1]Лицензирование!B26</f>
        <v>41240</v>
      </c>
      <c r="J39" s="31">
        <f>[1]Лицензирование!C26</f>
        <v>283000</v>
      </c>
      <c r="K39" s="31"/>
      <c r="L39" s="31"/>
      <c r="M39" s="31">
        <f>[1]Лицензирование!F26</f>
        <v>109000</v>
      </c>
      <c r="N39" s="31"/>
      <c r="O39" s="31"/>
      <c r="P39" s="31"/>
      <c r="Q39" s="31"/>
      <c r="R39" s="31"/>
      <c r="S39" s="31"/>
      <c r="T39" s="30"/>
      <c r="U39" s="28">
        <f>SUM(I39:T39)</f>
        <v>433240</v>
      </c>
      <c r="V39" s="29" t="s">
        <v>5</v>
      </c>
      <c r="W39" s="28">
        <f>F39-U39</f>
        <v>566760</v>
      </c>
    </row>
    <row r="40" spans="1:24" ht="15.75" x14ac:dyDescent="0.25">
      <c r="A40" s="35" t="s">
        <v>8</v>
      </c>
      <c r="B40" s="34"/>
      <c r="C40" s="34"/>
      <c r="D40" s="34"/>
      <c r="E40" s="30"/>
      <c r="F40" s="33">
        <v>600000</v>
      </c>
      <c r="G40" s="32" t="s">
        <v>5</v>
      </c>
      <c r="H40" s="30"/>
      <c r="I40" s="31"/>
      <c r="J40" s="31">
        <v>102500</v>
      </c>
      <c r="K40" s="31"/>
      <c r="L40" s="31"/>
      <c r="M40" s="31"/>
      <c r="N40" s="31">
        <v>45000</v>
      </c>
      <c r="O40" s="31"/>
      <c r="P40" s="31"/>
      <c r="Q40" s="31"/>
      <c r="R40" s="31"/>
      <c r="S40" s="31"/>
      <c r="T40" s="30"/>
      <c r="U40" s="28">
        <f>SUM(I40:T40)</f>
        <v>147500</v>
      </c>
      <c r="V40" s="29" t="s">
        <v>5</v>
      </c>
      <c r="W40" s="28">
        <f>F40-U40</f>
        <v>452500</v>
      </c>
    </row>
    <row r="41" spans="1:24" ht="15.75" x14ac:dyDescent="0.25">
      <c r="A41" s="35" t="s">
        <v>7</v>
      </c>
      <c r="B41" s="34"/>
      <c r="C41" s="34"/>
      <c r="D41" s="34"/>
      <c r="E41" s="30"/>
      <c r="F41" s="33">
        <v>250000</v>
      </c>
      <c r="G41" s="32" t="s">
        <v>5</v>
      </c>
      <c r="H41" s="30"/>
      <c r="I41" s="31"/>
      <c r="J41" s="31">
        <v>186499.7</v>
      </c>
      <c r="K41" s="31"/>
      <c r="L41" s="31">
        <v>139928.44</v>
      </c>
      <c r="M41" s="31"/>
      <c r="N41" s="31">
        <v>20242.18</v>
      </c>
      <c r="O41" s="31"/>
      <c r="P41" s="31"/>
      <c r="Q41" s="31"/>
      <c r="R41" s="31"/>
      <c r="S41" s="31"/>
      <c r="T41" s="30"/>
      <c r="U41" s="28">
        <f>SUM(I41:T41)</f>
        <v>346670.32</v>
      </c>
      <c r="V41" s="29" t="s">
        <v>5</v>
      </c>
      <c r="W41" s="28">
        <f>F41-U41</f>
        <v>-96670.32</v>
      </c>
    </row>
    <row r="42" spans="1:24" ht="16.5" thickBot="1" x14ac:dyDescent="0.3">
      <c r="A42" s="27" t="s">
        <v>6</v>
      </c>
      <c r="B42" s="26"/>
      <c r="C42" s="26"/>
      <c r="D42" s="26"/>
      <c r="E42" s="22"/>
      <c r="F42" s="25">
        <v>200000</v>
      </c>
      <c r="G42" s="24" t="s">
        <v>5</v>
      </c>
      <c r="H42" s="22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2"/>
      <c r="U42" s="20">
        <f>SUM(I42:T42)</f>
        <v>0</v>
      </c>
      <c r="V42" s="21" t="s">
        <v>5</v>
      </c>
      <c r="W42" s="20">
        <f>F42-U42</f>
        <v>200000</v>
      </c>
    </row>
    <row r="43" spans="1:24" ht="15.75" x14ac:dyDescent="0.25">
      <c r="A43" s="19"/>
      <c r="B43" s="18"/>
      <c r="C43" s="18"/>
      <c r="D43" s="18"/>
      <c r="E43" s="15"/>
      <c r="F43" s="17">
        <f>SUM(F36:F42)</f>
        <v>6450000</v>
      </c>
      <c r="G43" s="16"/>
      <c r="H43" s="15"/>
      <c r="I43" s="14">
        <f>SUM(I36:I42)</f>
        <v>2064335</v>
      </c>
      <c r="J43" s="14">
        <f>SUM(J36:J42)</f>
        <v>1120219.7</v>
      </c>
      <c r="K43" s="14">
        <f>SUM(K36:K42)</f>
        <v>545371.25</v>
      </c>
      <c r="L43" s="14">
        <f>SUM(L36:L42)</f>
        <v>239928.44</v>
      </c>
      <c r="M43" s="14">
        <f>SUM(M36:M42)</f>
        <v>860928.17</v>
      </c>
      <c r="N43" s="14">
        <f>SUM(N36:N42)</f>
        <v>65242.18</v>
      </c>
      <c r="O43" s="14">
        <f>SUM(O36:O42)</f>
        <v>0</v>
      </c>
      <c r="P43" s="14">
        <f>SUM(P36:P42)</f>
        <v>0</v>
      </c>
      <c r="Q43" s="14">
        <f>SUM(Q36:Q42)</f>
        <v>0</v>
      </c>
      <c r="R43" s="14">
        <f>SUM(R36:R42)</f>
        <v>0</v>
      </c>
      <c r="S43" s="14">
        <f>SUM(S36:S42)</f>
        <v>0</v>
      </c>
      <c r="T43" s="14">
        <f>SUM(T36:T42)</f>
        <v>0</v>
      </c>
      <c r="U43" s="12">
        <f>SUM(U36:U42)</f>
        <v>4896024.74</v>
      </c>
      <c r="V43" s="13"/>
      <c r="W43" s="12">
        <f>SUM(W36:W42)</f>
        <v>1553975.26</v>
      </c>
    </row>
    <row r="44" spans="1:24" s="2" customFormat="1" x14ac:dyDescent="0.25">
      <c r="A44" s="5"/>
      <c r="B44" s="5"/>
      <c r="C44" s="5"/>
      <c r="D44" s="5"/>
      <c r="E44" s="5"/>
      <c r="F44" s="4"/>
      <c r="G44" s="4"/>
      <c r="H44" s="5"/>
      <c r="I44" s="11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4"/>
      <c r="V44" s="4"/>
      <c r="W44" s="4"/>
    </row>
    <row r="45" spans="1:24" s="2" customFormat="1" hidden="1" x14ac:dyDescent="0.25">
      <c r="A45" s="5"/>
      <c r="B45" s="5"/>
      <c r="C45" s="5"/>
      <c r="D45" s="5"/>
      <c r="E45" s="5"/>
      <c r="F45" s="4"/>
      <c r="G45" s="4"/>
      <c r="H45" s="5"/>
      <c r="I45" s="11"/>
      <c r="J45" s="4"/>
      <c r="K45" s="4"/>
      <c r="L45" s="5"/>
      <c r="M45" s="5"/>
      <c r="N45" s="5"/>
      <c r="O45" s="5"/>
      <c r="P45" s="5"/>
      <c r="Q45" s="5"/>
      <c r="R45" s="5"/>
      <c r="S45" s="5"/>
      <c r="T45" s="5"/>
      <c r="U45" s="11"/>
      <c r="V45" s="4"/>
      <c r="W45" s="4"/>
    </row>
    <row r="46" spans="1:24" s="2" customFormat="1" hidden="1" x14ac:dyDescent="0.25">
      <c r="A46" s="5"/>
      <c r="B46" s="5"/>
      <c r="C46" s="5"/>
      <c r="D46" s="5"/>
      <c r="E46" s="5"/>
      <c r="F46" s="4"/>
      <c r="G46" s="4"/>
      <c r="H46" s="10" t="s">
        <v>4</v>
      </c>
      <c r="I46" s="6">
        <f>4500000+1141306.96</f>
        <v>5641306.96</v>
      </c>
      <c r="J46" s="6">
        <f>1605925.25+2000000+1000000</f>
        <v>4605925.25</v>
      </c>
      <c r="K46" s="6">
        <f>3727645.38+1000000</f>
        <v>4727645.38</v>
      </c>
      <c r="L46" s="5">
        <f>3273654.79+1500000</f>
        <v>4773654.79</v>
      </c>
      <c r="M46" s="5">
        <f>2784808.18+1500000</f>
        <v>4284808.18</v>
      </c>
      <c r="N46" s="5">
        <f>1000000+1000000+2074645.3</f>
        <v>4074645.3</v>
      </c>
      <c r="O46" s="5">
        <f>855239.7+3000000</f>
        <v>3855239.7</v>
      </c>
      <c r="P46" s="5"/>
      <c r="Q46" s="5"/>
      <c r="R46" s="5"/>
      <c r="S46" s="5"/>
      <c r="T46" s="5"/>
      <c r="U46" s="3"/>
      <c r="V46" s="3"/>
      <c r="W46" s="4"/>
    </row>
    <row r="47" spans="1:24" s="2" customFormat="1" hidden="1" x14ac:dyDescent="0.25">
      <c r="A47" s="5"/>
      <c r="B47" s="5"/>
      <c r="C47" s="5"/>
      <c r="D47" s="5"/>
      <c r="E47" s="5"/>
      <c r="F47" s="4"/>
      <c r="G47" s="4"/>
      <c r="H47" s="10" t="s">
        <v>3</v>
      </c>
      <c r="I47" s="6">
        <f>$H$5+I11-I34-I43</f>
        <v>5624239.5309999995</v>
      </c>
      <c r="J47" s="6">
        <f>I46+J11-J34-J43-I49</f>
        <v>4606478.38</v>
      </c>
      <c r="K47" s="6">
        <f>J46+K11-K34-K43</f>
        <v>4805423.8899999997</v>
      </c>
      <c r="L47" s="6">
        <f>K46+L11-L34-L43</f>
        <v>4685335.8099999996</v>
      </c>
      <c r="M47" s="6">
        <f>L46+M11-M34-M43</f>
        <v>4247542.459999999</v>
      </c>
      <c r="N47" s="6">
        <f>M46+N11-N34-N43</f>
        <v>3997437.0199999996</v>
      </c>
      <c r="O47" s="6">
        <f>N46+O11-O34-O43</f>
        <v>3970832.62</v>
      </c>
      <c r="P47" s="5"/>
      <c r="Q47" s="5"/>
      <c r="R47" s="5"/>
      <c r="S47" s="5"/>
      <c r="T47" s="5"/>
      <c r="U47" s="3"/>
      <c r="V47" s="3"/>
      <c r="W47" s="3"/>
    </row>
    <row r="48" spans="1:24" s="2" customFormat="1" hidden="1" x14ac:dyDescent="0.25">
      <c r="A48" s="5"/>
      <c r="B48" s="5"/>
      <c r="C48" s="5"/>
      <c r="D48" s="5"/>
      <c r="E48" s="5"/>
      <c r="F48" s="4"/>
      <c r="G48" s="4"/>
      <c r="H48" s="10" t="s">
        <v>2</v>
      </c>
      <c r="I48" s="6">
        <f>I47-I46</f>
        <v>-17067.429000000469</v>
      </c>
      <c r="J48" s="9">
        <f>J47-J46</f>
        <v>553.12999999988824</v>
      </c>
      <c r="K48" s="8">
        <f>K47-K46-K52</f>
        <v>9471.5099999997765</v>
      </c>
      <c r="L48" s="8">
        <f>L47-L46-L52</f>
        <v>-109218.98000000045</v>
      </c>
      <c r="M48" s="8">
        <f>M47-M46-M52</f>
        <v>-60165.720000000671</v>
      </c>
      <c r="N48" s="8">
        <f>N47-N46-N52</f>
        <v>-90008.280000000261</v>
      </c>
      <c r="O48" s="8">
        <f>O47-O46-O52</f>
        <v>86092.919999999925</v>
      </c>
      <c r="P48" s="5"/>
      <c r="Q48" s="5"/>
      <c r="R48" s="5"/>
      <c r="S48" s="5"/>
      <c r="T48" s="5"/>
      <c r="U48" s="4"/>
      <c r="V48" s="3"/>
      <c r="W48" s="3"/>
    </row>
    <row r="49" spans="1:23" s="2" customFormat="1" hidden="1" x14ac:dyDescent="0.25">
      <c r="A49" s="5"/>
      <c r="B49" s="5"/>
      <c r="C49" s="5"/>
      <c r="D49" s="5"/>
      <c r="E49" s="5"/>
      <c r="F49" s="4"/>
      <c r="G49" s="4"/>
      <c r="H49" s="7" t="s">
        <v>1</v>
      </c>
      <c r="I49" s="6">
        <v>17030.2</v>
      </c>
      <c r="J49" s="3"/>
      <c r="K49" s="3"/>
      <c r="L49" s="5"/>
      <c r="M49" s="5"/>
      <c r="N49" s="5"/>
      <c r="O49" s="5"/>
      <c r="P49" s="5"/>
      <c r="Q49" s="5"/>
      <c r="R49" s="5"/>
      <c r="S49" s="5"/>
      <c r="T49" s="5"/>
      <c r="U49" s="4"/>
      <c r="V49" s="3"/>
      <c r="W49" s="3"/>
    </row>
    <row r="50" spans="1:23" s="2" customFormat="1" hidden="1" x14ac:dyDescent="0.25">
      <c r="A50" s="5"/>
      <c r="B50" s="5"/>
      <c r="C50" s="5"/>
      <c r="D50" s="5"/>
      <c r="E50" s="5"/>
      <c r="F50" s="4"/>
      <c r="G50" s="4"/>
      <c r="H50" s="7"/>
      <c r="I50" s="6">
        <f>I48+I49</f>
        <v>-37.229000000468659</v>
      </c>
      <c r="J50" s="4"/>
      <c r="K50" s="4"/>
      <c r="L50" s="5"/>
      <c r="M50" s="5"/>
      <c r="N50" s="5"/>
      <c r="O50" s="5"/>
      <c r="P50" s="5"/>
      <c r="Q50" s="5"/>
      <c r="R50" s="5"/>
      <c r="S50" s="5"/>
      <c r="T50" s="5"/>
      <c r="U50" s="4"/>
      <c r="V50" s="3"/>
      <c r="W50" s="3"/>
    </row>
    <row r="51" spans="1:23" s="2" customFormat="1" hidden="1" x14ac:dyDescent="0.25">
      <c r="A51" s="5"/>
      <c r="F51" s="3"/>
      <c r="G51" s="3"/>
      <c r="I51" s="4"/>
      <c r="J51" s="4"/>
      <c r="K51" s="3"/>
      <c r="U51" s="3"/>
      <c r="V51" s="3"/>
      <c r="W51" s="3"/>
    </row>
    <row r="52" spans="1:23" s="2" customFormat="1" hidden="1" x14ac:dyDescent="0.25">
      <c r="F52" s="3"/>
      <c r="G52" s="3"/>
      <c r="H52" s="2" t="s">
        <v>0</v>
      </c>
      <c r="I52" s="4">
        <v>48500</v>
      </c>
      <c r="J52" s="3">
        <v>11710</v>
      </c>
      <c r="K52" s="4">
        <v>68307</v>
      </c>
      <c r="L52" s="2">
        <v>20900</v>
      </c>
      <c r="M52" s="2">
        <v>22900</v>
      </c>
      <c r="N52" s="2">
        <v>12800</v>
      </c>
      <c r="O52" s="2">
        <v>29500</v>
      </c>
      <c r="U52" s="3"/>
      <c r="V52" s="3"/>
      <c r="W52" s="3"/>
    </row>
    <row r="53" spans="1:23" s="2" customFormat="1" hidden="1" x14ac:dyDescent="0.25">
      <c r="F53" s="3"/>
      <c r="G53" s="3"/>
      <c r="I53" s="4"/>
      <c r="J53" s="4"/>
      <c r="K53" s="3"/>
      <c r="U53" s="3"/>
      <c r="V53" s="3"/>
      <c r="W53" s="3"/>
    </row>
    <row r="54" spans="1:23" s="2" customFormat="1" hidden="1" x14ac:dyDescent="0.25">
      <c r="F54" s="3"/>
      <c r="G54" s="3"/>
      <c r="I54" s="4"/>
      <c r="J54" s="4"/>
      <c r="K54" s="3"/>
      <c r="U54" s="3"/>
      <c r="V54" s="3"/>
      <c r="W54" s="3"/>
    </row>
    <row r="55" spans="1:23" s="2" customFormat="1" hidden="1" x14ac:dyDescent="0.25">
      <c r="F55" s="3"/>
      <c r="G55" s="3"/>
      <c r="I55" s="4"/>
      <c r="J55" s="4"/>
      <c r="K55" s="3"/>
      <c r="U55" s="3"/>
      <c r="V55" s="3"/>
      <c r="W55" s="3"/>
    </row>
    <row r="56" spans="1:23" s="2" customFormat="1" x14ac:dyDescent="0.25">
      <c r="F56" s="3"/>
      <c r="G56" s="3"/>
      <c r="I56" s="4"/>
      <c r="J56" s="3"/>
      <c r="K56" s="3"/>
      <c r="U56" s="3"/>
      <c r="V56" s="3"/>
      <c r="W56" s="3"/>
    </row>
    <row r="57" spans="1:23" s="2" customFormat="1" x14ac:dyDescent="0.25">
      <c r="F57" s="3"/>
      <c r="G57" s="3"/>
      <c r="I57" s="3"/>
      <c r="J57" s="3"/>
      <c r="K57" s="3"/>
      <c r="U57" s="3"/>
      <c r="V57" s="3"/>
      <c r="W57" s="3"/>
    </row>
    <row r="58" spans="1:23" s="2" customFormat="1" x14ac:dyDescent="0.25">
      <c r="F58" s="3"/>
      <c r="G58" s="3"/>
      <c r="I58" s="3"/>
      <c r="J58" s="3"/>
      <c r="K58" s="3"/>
      <c r="U58" s="3"/>
      <c r="V58" s="3"/>
      <c r="W58" s="3"/>
    </row>
    <row r="59" spans="1:23" s="2" customFormat="1" x14ac:dyDescent="0.25">
      <c r="F59" s="3"/>
      <c r="G59" s="3"/>
      <c r="I59" s="3"/>
      <c r="J59" s="3"/>
      <c r="K59" s="3"/>
      <c r="U59" s="3"/>
      <c r="V59" s="3"/>
      <c r="W59" s="3"/>
    </row>
    <row r="60" spans="1:23" s="2" customFormat="1" x14ac:dyDescent="0.25">
      <c r="F60" s="3"/>
      <c r="G60" s="3"/>
      <c r="I60" s="3"/>
      <c r="J60" s="3"/>
      <c r="K60" s="3"/>
      <c r="U60" s="3"/>
      <c r="V60" s="3"/>
      <c r="W60" s="3"/>
    </row>
    <row r="61" spans="1:23" s="2" customFormat="1" x14ac:dyDescent="0.25">
      <c r="F61" s="3"/>
      <c r="G61" s="3"/>
      <c r="I61" s="3"/>
      <c r="J61" s="3"/>
      <c r="K61" s="3"/>
      <c r="U61" s="3"/>
      <c r="V61" s="3"/>
      <c r="W61" s="3"/>
    </row>
    <row r="62" spans="1:23" s="2" customFormat="1" x14ac:dyDescent="0.25">
      <c r="F62" s="3"/>
      <c r="G62" s="3"/>
      <c r="I62" s="3"/>
      <c r="J62" s="3"/>
      <c r="K62" s="3"/>
      <c r="U62" s="3"/>
      <c r="V62" s="3"/>
      <c r="W62" s="3"/>
    </row>
  </sheetData>
  <mergeCells count="30">
    <mergeCell ref="A41:D41"/>
    <mergeCell ref="L3:L4"/>
    <mergeCell ref="A12:E12"/>
    <mergeCell ref="A3:E3"/>
    <mergeCell ref="A43:D43"/>
    <mergeCell ref="A2:P2"/>
    <mergeCell ref="A36:D36"/>
    <mergeCell ref="A11:E11"/>
    <mergeCell ref="A34:E34"/>
    <mergeCell ref="A42:D42"/>
    <mergeCell ref="A37:D37"/>
    <mergeCell ref="A38:D38"/>
    <mergeCell ref="A39:D39"/>
    <mergeCell ref="A40:D40"/>
    <mergeCell ref="I3:I4"/>
    <mergeCell ref="J3:J4"/>
    <mergeCell ref="K3:K4"/>
    <mergeCell ref="R3:R4"/>
    <mergeCell ref="S3:S4"/>
    <mergeCell ref="T3:T4"/>
    <mergeCell ref="V3:V4"/>
    <mergeCell ref="W3:W4"/>
    <mergeCell ref="U3:U4"/>
    <mergeCell ref="F3:F4"/>
    <mergeCell ref="G3:G4"/>
    <mergeCell ref="M3:M4"/>
    <mergeCell ref="N3:N4"/>
    <mergeCell ref="O3:O4"/>
    <mergeCell ref="P3:P4"/>
    <mergeCell ref="Q3:Q4"/>
  </mergeCells>
  <pageMargins left="0.25" right="0.25" top="0.75" bottom="0.75" header="0.3" footer="0.3"/>
  <pageSetup paperSize="9" scale="69" orientation="landscape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затраты в 2019-2020 гг</vt:lpstr>
      <vt:lpstr>'ВСЕ затраты в 2019-2020 гг'!Область_печати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В. Сафронов</dc:creator>
  <cp:lastModifiedBy>Игорь В. Сафронов</cp:lastModifiedBy>
  <dcterms:created xsi:type="dcterms:W3CDTF">2020-01-14T11:18:14Z</dcterms:created>
  <dcterms:modified xsi:type="dcterms:W3CDTF">2020-01-14T11:21:38Z</dcterms:modified>
</cp:coreProperties>
</file>