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3110" activeTab="0"/>
  </bookViews>
  <sheets>
    <sheet name="ВСЕ затраты в 2019-2020 гг" sheetId="1" r:id="rId1"/>
  </sheets>
  <externalReferences>
    <externalReference r:id="rId4"/>
  </externalReferences>
  <definedNames>
    <definedName name="_xlnm.Print_Area" localSheetId="0">'ВСЕ затраты в 2019-2020 гг'!$A$1:$W$43</definedName>
  </definedNames>
  <calcPr fullCalcOnLoad="1"/>
</workbook>
</file>

<file path=xl/comments1.xml><?xml version="1.0" encoding="utf-8"?>
<comments xmlns="http://schemas.openxmlformats.org/spreadsheetml/2006/main">
  <authors>
    <author>soglasie1@outlook.com</author>
  </authors>
  <commentList>
    <comment ref="J41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оборуд управл 3 насосами</t>
        </r>
      </text>
    </comment>
    <comment ref="J31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НДФЛ</t>
        </r>
      </text>
    </comment>
    <comment ref="N41" authorId="0">
      <text>
        <r>
          <rPr>
            <b/>
            <sz val="9"/>
            <rFont val="Tahoma"/>
            <family val="0"/>
          </rPr>
          <t>soglasie1@outlook.com:</t>
        </r>
        <r>
          <rPr>
            <sz val="9"/>
            <rFont val="Tahoma"/>
            <family val="0"/>
          </rPr>
          <t xml:space="preserve">
шкаф управления насосами</t>
        </r>
      </text>
    </comment>
    <comment ref="L41" authorId="0">
      <text>
        <r>
          <rPr>
            <b/>
            <sz val="9"/>
            <rFont val="Tahoma"/>
            <family val="0"/>
          </rPr>
          <t>soglasie1@outlook.com:</t>
        </r>
        <r>
          <rPr>
            <sz val="9"/>
            <rFont val="Tahoma"/>
            <family val="0"/>
          </rPr>
          <t xml:space="preserve">
станция управления насосами</t>
        </r>
      </text>
    </comment>
    <comment ref="N40" authorId="0">
      <text>
        <r>
          <rPr>
            <b/>
            <sz val="9"/>
            <rFont val="Tahoma"/>
            <family val="0"/>
          </rPr>
          <t>soglasie1@outlook.com:</t>
        </r>
        <r>
          <rPr>
            <sz val="9"/>
            <rFont val="Tahoma"/>
            <family val="0"/>
          </rPr>
          <t xml:space="preserve">
внесение изменений в ЕГРН границ. Зем.участка)</t>
        </r>
      </text>
    </comment>
    <comment ref="Q39" authorId="0">
      <text>
        <r>
          <rPr>
            <b/>
            <sz val="9"/>
            <rFont val="Tahoma"/>
            <family val="0"/>
          </rPr>
          <t>soglasie1@outlook.com:</t>
        </r>
        <r>
          <rPr>
            <sz val="9"/>
            <rFont val="Tahoma"/>
            <family val="0"/>
          </rPr>
          <t xml:space="preserve">
госпошлина</t>
        </r>
      </text>
    </comment>
    <comment ref="Q41" authorId="0">
      <text>
        <r>
          <rPr>
            <b/>
            <sz val="9"/>
            <rFont val="Tahoma"/>
            <family val="0"/>
          </rPr>
          <t>soglasie1@outlook.com:</t>
        </r>
        <r>
          <rPr>
            <sz val="9"/>
            <rFont val="Tahoma"/>
            <family val="0"/>
          </rPr>
          <t xml:space="preserve">
настройка шкафа</t>
        </r>
      </text>
    </comment>
  </commentList>
</comments>
</file>

<file path=xl/sharedStrings.xml><?xml version="1.0" encoding="utf-8"?>
<sst xmlns="http://schemas.openxmlformats.org/spreadsheetml/2006/main" count="92" uniqueCount="68">
  <si>
    <t>Финансовый год:</t>
  </si>
  <si>
    <t>2019-2020гг.</t>
  </si>
  <si>
    <t xml:space="preserve">Исполнение финансового плана ТСН "КП "Согласие" за период с июня 2019 по март 2020 года </t>
  </si>
  <si>
    <t>Статьи поступления денежных средств</t>
  </si>
  <si>
    <t>Лимит на год</t>
  </si>
  <si>
    <t>Лимит на месяц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</si>
  <si>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</si>
  <si>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</si>
  <si>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</si>
  <si>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</si>
  <si>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</si>
  <si>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</si>
  <si>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</si>
  <si>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</si>
  <si>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</si>
  <si>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</si>
  <si>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</si>
  <si>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</si>
  <si>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</si>
  <si>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 за 9 мес.</t>
  </si>
  <si>
    <t>Бюджет          за 9 мес.</t>
  </si>
  <si>
    <t>Недобор(-) Перевыполн.(+)</t>
  </si>
  <si>
    <t xml:space="preserve"> 01.06.19</t>
  </si>
  <si>
    <t>Поступл. ден ср. от сбора член. взнос.</t>
  </si>
  <si>
    <t>ЦФ, вступит.  взнос новых членов</t>
  </si>
  <si>
    <t>ЦФ взнос на содерж. дор. (опл.въезда)</t>
  </si>
  <si>
    <t>Карты въезда</t>
  </si>
  <si>
    <t>% за депозит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</si>
  <si>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</si>
  <si>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</si>
  <si>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</si>
  <si>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</si>
  <si>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</si>
  <si>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</si>
  <si>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</si>
  <si>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Заработная плата    (14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</si>
  <si>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</si>
  <si>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</si>
  <si>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</si>
  <si>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</si>
  <si>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</si>
  <si>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</si>
  <si>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</si>
  <si>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</si>
  <si>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Ремонт сетей канализации и О/С</t>
  </si>
  <si>
    <t>Содержание сетей электроснабжения</t>
  </si>
  <si>
    <t>Э/энергия на общие нужды</t>
  </si>
  <si>
    <t>Содержание дорог и уборка территор.</t>
  </si>
  <si>
    <t>Благоустройство территории</t>
  </si>
  <si>
    <t>Ямочный ремонт дорог</t>
  </si>
  <si>
    <t>х</t>
  </si>
  <si>
    <t>Фонд поощрения ПП и ревизора</t>
  </si>
  <si>
    <t>Социальн. налоги с Фонда поощр. ПП</t>
  </si>
  <si>
    <t>Резервный фонд 5%</t>
  </si>
  <si>
    <t xml:space="preserve">     ИТОГО РАСХОДЫ</t>
  </si>
  <si>
    <t>Ремонт водопровода</t>
  </si>
  <si>
    <t>Электродробилка</t>
  </si>
  <si>
    <t>Лопата и щетка для трактора</t>
  </si>
  <si>
    <t>Лицензирование скважин</t>
  </si>
  <si>
    <t>Оформление земли</t>
  </si>
  <si>
    <t>Насосный узел</t>
  </si>
  <si>
    <t>Перенос шлагбаума</t>
  </si>
  <si>
    <t>на счетах на конец месяца</t>
  </si>
  <si>
    <t>расчетное</t>
  </si>
  <si>
    <t>разница</t>
  </si>
  <si>
    <t>расходы прошли, но списаны с р/с 01/07/19</t>
  </si>
  <si>
    <t>фортис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</si>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</sst>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3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22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3" fontId="22" fillId="2" borderId="19" xfId="0" applyNumberFormat="1" applyFont="1" applyFill="1" applyBorder="1" applyAlignment="1">
      <alignment horizontal="center"/>
    </xf>
    <xf numFmtId="3" fontId="22" fillId="8" borderId="19" xfId="0" applyNumberFormat="1" applyFont="1" applyFill="1" applyBorder="1" applyAlignment="1">
      <alignment horizontal="center"/>
    </xf>
    <xf numFmtId="3" fontId="21" fillId="3" borderId="19" xfId="0" applyNumberFormat="1" applyFont="1" applyFill="1" applyBorder="1" applyAlignment="1">
      <alignment/>
    </xf>
    <xf numFmtId="3" fontId="21" fillId="3" borderId="19" xfId="0" applyNumberFormat="1" applyFont="1" applyFill="1" applyBorder="1" applyAlignment="1">
      <alignment horizontal="center"/>
    </xf>
    <xf numFmtId="3" fontId="23" fillId="3" borderId="19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>
      <alignment horizontal="center" vertical="center"/>
    </xf>
    <xf numFmtId="3" fontId="23" fillId="3" borderId="19" xfId="0" applyNumberFormat="1" applyFont="1" applyFill="1" applyBorder="1" applyAlignment="1">
      <alignment horizontal="center"/>
    </xf>
    <xf numFmtId="3" fontId="22" fillId="0" borderId="19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23" borderId="19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 vertical="center"/>
    </xf>
    <xf numFmtId="3" fontId="22" fillId="24" borderId="15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/>
    </xf>
    <xf numFmtId="3" fontId="22" fillId="0" borderId="19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/>
    </xf>
    <xf numFmtId="3" fontId="23" fillId="0" borderId="19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3" fontId="22" fillId="8" borderId="20" xfId="0" applyNumberFormat="1" applyFont="1" applyFill="1" applyBorder="1" applyAlignment="1">
      <alignment horizontal="center"/>
    </xf>
    <xf numFmtId="0" fontId="21" fillId="0" borderId="20" xfId="0" applyFont="1" applyBorder="1" applyAlignment="1">
      <alignment/>
    </xf>
    <xf numFmtId="3" fontId="21" fillId="3" borderId="20" xfId="0" applyNumberFormat="1" applyFont="1" applyFill="1" applyBorder="1" applyAlignment="1">
      <alignment horizontal="center"/>
    </xf>
    <xf numFmtId="0" fontId="21" fillId="3" borderId="20" xfId="0" applyFont="1" applyFill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23" borderId="20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3" fontId="22" fillId="2" borderId="16" xfId="0" applyNumberFormat="1" applyFont="1" applyFill="1" applyBorder="1" applyAlignment="1">
      <alignment horizontal="center"/>
    </xf>
    <xf numFmtId="3" fontId="22" fillId="8" borderId="16" xfId="0" applyNumberFormat="1" applyFont="1" applyFill="1" applyBorder="1" applyAlignment="1">
      <alignment horizontal="center"/>
    </xf>
    <xf numFmtId="3" fontId="22" fillId="0" borderId="16" xfId="0" applyNumberFormat="1" applyFont="1" applyBorder="1" applyAlignment="1">
      <alignment/>
    </xf>
    <xf numFmtId="3" fontId="22" fillId="3" borderId="16" xfId="0" applyNumberFormat="1" applyFont="1" applyFill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23" borderId="1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0" fillId="4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21" fillId="4" borderId="19" xfId="0" applyNumberFormat="1" applyFont="1" applyFill="1" applyBorder="1" applyAlignment="1">
      <alignment horizontal="center"/>
    </xf>
    <xf numFmtId="3" fontId="22" fillId="5" borderId="19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1" fillId="0" borderId="16" xfId="0" applyFont="1" applyBorder="1" applyAlignment="1">
      <alignment/>
    </xf>
    <xf numFmtId="3" fontId="21" fillId="4" borderId="16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23" fillId="4" borderId="16" xfId="0" applyNumberFormat="1" applyFont="1" applyFill="1" applyBorder="1" applyAlignment="1">
      <alignment horizontal="center"/>
    </xf>
    <xf numFmtId="3" fontId="22" fillId="24" borderId="19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3" fontId="22" fillId="2" borderId="14" xfId="0" applyNumberFormat="1" applyFont="1" applyFill="1" applyBorder="1" applyAlignment="1">
      <alignment horizontal="center"/>
    </xf>
    <xf numFmtId="3" fontId="22" fillId="8" borderId="14" xfId="0" applyNumberFormat="1" applyFont="1" applyFill="1" applyBorder="1" applyAlignment="1">
      <alignment horizontal="center"/>
    </xf>
    <xf numFmtId="0" fontId="21" fillId="0" borderId="14" xfId="0" applyFont="1" applyBorder="1" applyAlignment="1">
      <alignment/>
    </xf>
    <xf numFmtId="3" fontId="21" fillId="4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3" fontId="22" fillId="2" borderId="20" xfId="0" applyNumberFormat="1" applyFont="1" applyFill="1" applyBorder="1" applyAlignment="1">
      <alignment horizontal="center"/>
    </xf>
    <xf numFmtId="3" fontId="21" fillId="4" borderId="20" xfId="0" applyNumberFormat="1" applyFont="1" applyFill="1" applyBorder="1" applyAlignment="1">
      <alignment horizontal="center"/>
    </xf>
    <xf numFmtId="3" fontId="22" fillId="5" borderId="2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2" fillId="0" borderId="27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3" fontId="22" fillId="4" borderId="16" xfId="0" applyNumberFormat="1" applyFont="1" applyFill="1" applyBorder="1" applyAlignment="1">
      <alignment horizontal="center"/>
    </xf>
    <xf numFmtId="3" fontId="22" fillId="4" borderId="16" xfId="0" applyNumberFormat="1" applyFont="1" applyFill="1" applyBorder="1" applyAlignment="1">
      <alignment/>
    </xf>
    <xf numFmtId="0" fontId="25" fillId="23" borderId="18" xfId="0" applyFont="1" applyFill="1" applyBorder="1" applyAlignment="1">
      <alignment wrapText="1"/>
    </xf>
    <xf numFmtId="0" fontId="0" fillId="23" borderId="18" xfId="0" applyFill="1" applyBorder="1" applyAlignment="1">
      <alignment wrapText="1"/>
    </xf>
    <xf numFmtId="0" fontId="25" fillId="23" borderId="18" xfId="0" applyFont="1" applyFill="1" applyBorder="1" applyAlignment="1">
      <alignment/>
    </xf>
    <xf numFmtId="164" fontId="26" fillId="23" borderId="19" xfId="59" applyNumberFormat="1" applyFont="1" applyFill="1" applyBorder="1" applyAlignment="1">
      <alignment horizontal="center"/>
    </xf>
    <xf numFmtId="0" fontId="25" fillId="23" borderId="19" xfId="0" applyFont="1" applyFill="1" applyBorder="1" applyAlignment="1">
      <alignment horizontal="center"/>
    </xf>
    <xf numFmtId="3" fontId="26" fillId="23" borderId="19" xfId="0" applyNumberFormat="1" applyFont="1" applyFill="1" applyBorder="1" applyAlignment="1">
      <alignment horizontal="center"/>
    </xf>
    <xf numFmtId="164" fontId="27" fillId="23" borderId="18" xfId="59" applyNumberFormat="1" applyFont="1" applyFill="1" applyBorder="1" applyAlignment="1">
      <alignment horizontal="center"/>
    </xf>
    <xf numFmtId="0" fontId="25" fillId="23" borderId="22" xfId="0" applyFont="1" applyFill="1" applyBorder="1" applyAlignment="1">
      <alignment wrapText="1"/>
    </xf>
    <xf numFmtId="0" fontId="0" fillId="23" borderId="22" xfId="0" applyFill="1" applyBorder="1" applyAlignment="1">
      <alignment wrapText="1"/>
    </xf>
    <xf numFmtId="0" fontId="25" fillId="23" borderId="22" xfId="0" applyFont="1" applyFill="1" applyBorder="1" applyAlignment="1">
      <alignment/>
    </xf>
    <xf numFmtId="164" fontId="26" fillId="23" borderId="20" xfId="59" applyNumberFormat="1" applyFont="1" applyFill="1" applyBorder="1" applyAlignment="1">
      <alignment horizontal="center"/>
    </xf>
    <xf numFmtId="0" fontId="25" fillId="23" borderId="20" xfId="0" applyFont="1" applyFill="1" applyBorder="1" applyAlignment="1">
      <alignment horizontal="center"/>
    </xf>
    <xf numFmtId="3" fontId="26" fillId="23" borderId="20" xfId="0" applyNumberFormat="1" applyFont="1" applyFill="1" applyBorder="1" applyAlignment="1">
      <alignment horizontal="center"/>
    </xf>
    <xf numFmtId="164" fontId="27" fillId="23" borderId="22" xfId="59" applyNumberFormat="1" applyFont="1" applyFill="1" applyBorder="1" applyAlignment="1">
      <alignment horizontal="center"/>
    </xf>
    <xf numFmtId="0" fontId="25" fillId="23" borderId="10" xfId="0" applyFont="1" applyFill="1" applyBorder="1" applyAlignment="1">
      <alignment wrapText="1"/>
    </xf>
    <xf numFmtId="0" fontId="0" fillId="23" borderId="10" xfId="0" applyFill="1" applyBorder="1" applyAlignment="1">
      <alignment wrapText="1"/>
    </xf>
    <xf numFmtId="0" fontId="25" fillId="23" borderId="10" xfId="0" applyFont="1" applyFill="1" applyBorder="1" applyAlignment="1">
      <alignment/>
    </xf>
    <xf numFmtId="164" fontId="26" fillId="23" borderId="16" xfId="59" applyNumberFormat="1" applyFont="1" applyFill="1" applyBorder="1" applyAlignment="1">
      <alignment horizontal="center"/>
    </xf>
    <xf numFmtId="0" fontId="25" fillId="23" borderId="16" xfId="0" applyFont="1" applyFill="1" applyBorder="1" applyAlignment="1">
      <alignment horizontal="center"/>
    </xf>
    <xf numFmtId="3" fontId="26" fillId="23" borderId="16" xfId="0" applyNumberFormat="1" applyFont="1" applyFill="1" applyBorder="1" applyAlignment="1">
      <alignment horizontal="center"/>
    </xf>
    <xf numFmtId="164" fontId="27" fillId="23" borderId="10" xfId="59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164" fontId="28" fillId="0" borderId="0" xfId="59" applyNumberFormat="1" applyFont="1" applyAlignment="1">
      <alignment/>
    </xf>
    <xf numFmtId="0" fontId="28" fillId="0" borderId="0" xfId="0" applyFont="1" applyAlignment="1">
      <alignment horizontal="center"/>
    </xf>
    <xf numFmtId="43" fontId="28" fillId="0" borderId="0" xfId="59" applyNumberFormat="1" applyFont="1" applyAlignment="1">
      <alignment/>
    </xf>
    <xf numFmtId="43" fontId="18" fillId="0" borderId="0" xfId="59" applyNumberFormat="1" applyFont="1" applyAlignment="1">
      <alignment/>
    </xf>
    <xf numFmtId="0" fontId="27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73;&#1102;&#1076;&#1078;&#1077;&#1090;&#1072;%202019-2020%20&#1084;&#1072;&#1088;&#1090;%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затраты за 6 мес."/>
      <sheetName val="ВСЕ затраты в 2019-2020 гг"/>
      <sheetName val="ВСЕ затраты в 2016-2017 гг (2)"/>
      <sheetName val="общехоз расходы"/>
      <sheetName val="программ обеспечение"/>
      <sheetName val="услуги связи"/>
      <sheetName val="з пл"/>
      <sheetName val="премиальный фонд"/>
      <sheetName val="налог с ФОТ"/>
      <sheetName val="приобрт инвентаря и оборуд"/>
      <sheetName val="вывоз мусора"/>
      <sheetName val="сод охраны"/>
      <sheetName val="содерж газ оборуд"/>
      <sheetName val="Лицензирование"/>
      <sheetName val="сод сетей водоснабжения"/>
      <sheetName val="Ремонт водопров. (закольцовка)"/>
      <sheetName val="сод сетей канализации"/>
      <sheetName val="ремонт канализации"/>
      <sheetName val="сод сетей эл.снабж"/>
      <sheetName val="эл.эн на общ нужды"/>
      <sheetName val="содерж дорог"/>
      <sheetName val="ямочный ремонт"/>
      <sheetName val="благоустройство"/>
      <sheetName val="резервный фонд"/>
    </sheetNames>
    <sheetDataSet>
      <sheetData sheetId="3">
        <row r="77">
          <cell r="B77">
            <v>69285.14000000001</v>
          </cell>
          <cell r="C77">
            <v>62428.83</v>
          </cell>
          <cell r="D77">
            <v>39254.81999999999</v>
          </cell>
          <cell r="E77">
            <v>127325.63</v>
          </cell>
          <cell r="F77">
            <v>70935.51000000001</v>
          </cell>
          <cell r="G77">
            <v>65120.65</v>
          </cell>
          <cell r="H77">
            <v>81754.81999999999</v>
          </cell>
          <cell r="I77">
            <v>24030.97</v>
          </cell>
          <cell r="J77">
            <v>56881.57</v>
          </cell>
          <cell r="K77">
            <v>50281.270000000004</v>
          </cell>
        </row>
      </sheetData>
      <sheetData sheetId="4">
        <row r="11">
          <cell r="B11">
            <v>7000</v>
          </cell>
          <cell r="C11">
            <v>0</v>
          </cell>
          <cell r="D11">
            <v>3538.13</v>
          </cell>
          <cell r="E11">
            <v>8000</v>
          </cell>
          <cell r="F11">
            <v>1190</v>
          </cell>
          <cell r="G11">
            <v>0</v>
          </cell>
          <cell r="H11">
            <v>0</v>
          </cell>
          <cell r="I11">
            <v>0</v>
          </cell>
          <cell r="J11">
            <v>4908</v>
          </cell>
          <cell r="K11">
            <v>0</v>
          </cell>
          <cell r="L11">
            <v>0</v>
          </cell>
          <cell r="M11">
            <v>0</v>
          </cell>
        </row>
      </sheetData>
      <sheetData sheetId="5">
        <row r="7">
          <cell r="B7">
            <v>13213.33</v>
          </cell>
          <cell r="C7">
            <v>20000</v>
          </cell>
          <cell r="D7">
            <v>9000</v>
          </cell>
          <cell r="E7">
            <v>8000</v>
          </cell>
          <cell r="F7">
            <v>5000</v>
          </cell>
          <cell r="G7">
            <v>6000</v>
          </cell>
          <cell r="H7">
            <v>15000</v>
          </cell>
          <cell r="I7">
            <v>7000</v>
          </cell>
          <cell r="J7">
            <v>7000</v>
          </cell>
          <cell r="K7">
            <v>7000</v>
          </cell>
          <cell r="L7">
            <v>0</v>
          </cell>
          <cell r="M7">
            <v>0</v>
          </cell>
        </row>
      </sheetData>
      <sheetData sheetId="6">
        <row r="6">
          <cell r="B6">
            <v>607993.309</v>
          </cell>
          <cell r="C6">
            <v>846319.86</v>
          </cell>
          <cell r="D6">
            <v>523883.59</v>
          </cell>
          <cell r="E6">
            <v>599763.37</v>
          </cell>
          <cell r="F6">
            <v>520399.55</v>
          </cell>
          <cell r="G6">
            <v>710981.64</v>
          </cell>
          <cell r="H6">
            <v>973746.4199999999</v>
          </cell>
          <cell r="I6">
            <v>118394.44</v>
          </cell>
          <cell r="J6">
            <v>583431.76</v>
          </cell>
          <cell r="K6">
            <v>768453.93</v>
          </cell>
          <cell r="L6">
            <v>0</v>
          </cell>
          <cell r="M6">
            <v>0</v>
          </cell>
        </row>
      </sheetData>
      <sheetData sheetId="7">
        <row r="5">
          <cell r="B5">
            <v>82861.11</v>
          </cell>
          <cell r="C5">
            <v>6640.63</v>
          </cell>
          <cell r="D5">
            <v>13426</v>
          </cell>
          <cell r="E5">
            <v>8250</v>
          </cell>
          <cell r="F5">
            <v>15152.68</v>
          </cell>
          <cell r="G5">
            <v>11770.38</v>
          </cell>
          <cell r="H5">
            <v>72267.12</v>
          </cell>
          <cell r="I5">
            <v>0</v>
          </cell>
          <cell r="J5">
            <v>91416.91</v>
          </cell>
          <cell r="K5">
            <v>54242.11</v>
          </cell>
          <cell r="L5">
            <v>0</v>
          </cell>
          <cell r="M5">
            <v>0</v>
          </cell>
        </row>
      </sheetData>
      <sheetData sheetId="8">
        <row r="5">
          <cell r="B5">
            <v>180380.46</v>
          </cell>
          <cell r="C5">
            <v>181978.21000000002</v>
          </cell>
          <cell r="D5">
            <v>223859.49000000002</v>
          </cell>
          <cell r="E5">
            <v>130876.79999999999</v>
          </cell>
          <cell r="F5">
            <v>169873.41999999998</v>
          </cell>
          <cell r="G5">
            <v>221352.77000000002</v>
          </cell>
          <cell r="H5">
            <v>314385.86</v>
          </cell>
          <cell r="I5">
            <v>0</v>
          </cell>
          <cell r="J5">
            <v>163462.74</v>
          </cell>
          <cell r="K5">
            <v>304769.94</v>
          </cell>
          <cell r="L5">
            <v>0</v>
          </cell>
          <cell r="M5">
            <v>0</v>
          </cell>
        </row>
      </sheetData>
      <sheetData sheetId="9">
        <row r="18">
          <cell r="B18">
            <v>0</v>
          </cell>
          <cell r="C18">
            <v>0</v>
          </cell>
          <cell r="D18">
            <v>7603</v>
          </cell>
          <cell r="E18">
            <v>1579</v>
          </cell>
          <cell r="F18">
            <v>2858</v>
          </cell>
          <cell r="G18">
            <v>950</v>
          </cell>
          <cell r="H18">
            <v>1261</v>
          </cell>
          <cell r="I18">
            <v>0</v>
          </cell>
          <cell r="J18">
            <v>578</v>
          </cell>
          <cell r="K18">
            <v>1024</v>
          </cell>
          <cell r="L18">
            <v>0</v>
          </cell>
          <cell r="M18">
            <v>0</v>
          </cell>
        </row>
      </sheetData>
      <sheetData sheetId="10">
        <row r="10">
          <cell r="B10">
            <v>430000</v>
          </cell>
          <cell r="C10">
            <v>340000</v>
          </cell>
          <cell r="D10">
            <v>370000</v>
          </cell>
          <cell r="E10">
            <v>380000</v>
          </cell>
          <cell r="F10">
            <v>423000</v>
          </cell>
          <cell r="G10">
            <v>603000</v>
          </cell>
          <cell r="H10">
            <v>351000</v>
          </cell>
          <cell r="I10">
            <v>396518.94</v>
          </cell>
          <cell r="J10">
            <v>189000</v>
          </cell>
          <cell r="K10">
            <v>143750</v>
          </cell>
          <cell r="L10">
            <v>0</v>
          </cell>
          <cell r="M10">
            <v>0</v>
          </cell>
        </row>
      </sheetData>
      <sheetData sheetId="11">
        <row r="7">
          <cell r="B7">
            <v>0</v>
          </cell>
          <cell r="C7">
            <v>517121.4</v>
          </cell>
          <cell r="D7">
            <v>517121.4</v>
          </cell>
          <cell r="E7">
            <v>517121.4</v>
          </cell>
          <cell r="F7">
            <v>517121.4</v>
          </cell>
          <cell r="G7">
            <v>517121.4</v>
          </cell>
          <cell r="H7">
            <v>1034242.8</v>
          </cell>
          <cell r="I7">
            <v>0</v>
          </cell>
          <cell r="J7">
            <v>517121.4</v>
          </cell>
          <cell r="K7">
            <v>517121.4</v>
          </cell>
          <cell r="L7">
            <v>0</v>
          </cell>
          <cell r="M7">
            <v>0</v>
          </cell>
        </row>
      </sheetData>
      <sheetData sheetId="12">
        <row r="6">
          <cell r="B6">
            <v>20697.67</v>
          </cell>
          <cell r="C6">
            <v>20697.67</v>
          </cell>
          <cell r="D6">
            <v>20697.67</v>
          </cell>
          <cell r="E6">
            <v>20697.67</v>
          </cell>
          <cell r="F6">
            <v>20697.67</v>
          </cell>
          <cell r="G6">
            <v>20697.67</v>
          </cell>
          <cell r="H6">
            <v>41395.4</v>
          </cell>
          <cell r="I6">
            <v>0</v>
          </cell>
          <cell r="J6">
            <v>20697.67</v>
          </cell>
          <cell r="K6">
            <v>20697.67</v>
          </cell>
          <cell r="L6">
            <v>0</v>
          </cell>
          <cell r="M6">
            <v>0</v>
          </cell>
        </row>
      </sheetData>
      <sheetData sheetId="13">
        <row r="26">
          <cell r="B26">
            <v>41240</v>
          </cell>
          <cell r="C26">
            <v>283000</v>
          </cell>
          <cell r="F26">
            <v>109000</v>
          </cell>
        </row>
      </sheetData>
      <sheetData sheetId="14">
        <row r="34">
          <cell r="B34">
            <v>0</v>
          </cell>
          <cell r="C34">
            <v>32951</v>
          </cell>
          <cell r="D34">
            <v>15533</v>
          </cell>
          <cell r="E34">
            <v>59031.03999999999</v>
          </cell>
          <cell r="F34">
            <v>65381</v>
          </cell>
          <cell r="G34">
            <v>63974.479999999996</v>
          </cell>
          <cell r="H34">
            <v>31066</v>
          </cell>
          <cell r="I34">
            <v>134577</v>
          </cell>
          <cell r="J34">
            <v>54547</v>
          </cell>
          <cell r="K34">
            <v>0</v>
          </cell>
          <cell r="L34">
            <v>0</v>
          </cell>
          <cell r="M34">
            <v>0</v>
          </cell>
        </row>
      </sheetData>
      <sheetData sheetId="15">
        <row r="17">
          <cell r="B17">
            <v>1908095</v>
          </cell>
          <cell r="C17">
            <v>548220</v>
          </cell>
          <cell r="D17">
            <v>545371.25</v>
          </cell>
          <cell r="E17">
            <v>100000</v>
          </cell>
          <cell r="F17">
            <v>751928.17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6">
        <row r="29">
          <cell r="B29">
            <v>1565</v>
          </cell>
          <cell r="C29">
            <v>31275</v>
          </cell>
          <cell r="D29">
            <v>6146</v>
          </cell>
          <cell r="E29">
            <v>5126</v>
          </cell>
          <cell r="F29">
            <v>2560.6</v>
          </cell>
          <cell r="G29">
            <v>0</v>
          </cell>
          <cell r="H29">
            <v>2506</v>
          </cell>
          <cell r="I29">
            <v>14162.5</v>
          </cell>
          <cell r="J29">
            <v>6115.125</v>
          </cell>
          <cell r="K29">
            <v>6669</v>
          </cell>
          <cell r="L29">
            <v>0</v>
          </cell>
          <cell r="M29">
            <v>0</v>
          </cell>
        </row>
      </sheetData>
      <sheetData sheetId="17">
        <row r="21">
          <cell r="B21">
            <v>0</v>
          </cell>
          <cell r="C21">
            <v>16300</v>
          </cell>
          <cell r="D21">
            <v>16300</v>
          </cell>
          <cell r="E21">
            <v>19300</v>
          </cell>
          <cell r="F21">
            <v>16300</v>
          </cell>
          <cell r="G21">
            <v>16300</v>
          </cell>
          <cell r="H21">
            <v>18300</v>
          </cell>
          <cell r="I21">
            <v>32600</v>
          </cell>
          <cell r="J21">
            <v>16300</v>
          </cell>
          <cell r="K21">
            <v>16300</v>
          </cell>
          <cell r="L21">
            <v>0</v>
          </cell>
          <cell r="M21">
            <v>0</v>
          </cell>
        </row>
      </sheetData>
      <sheetData sheetId="18">
        <row r="19">
          <cell r="B19">
            <v>2498.2</v>
          </cell>
          <cell r="C19">
            <v>9360</v>
          </cell>
          <cell r="D19">
            <v>0</v>
          </cell>
          <cell r="E19">
            <v>0</v>
          </cell>
          <cell r="F19">
            <v>10656</v>
          </cell>
          <cell r="G19">
            <v>5830</v>
          </cell>
          <cell r="H19">
            <v>0</v>
          </cell>
          <cell r="I19">
            <v>4075</v>
          </cell>
          <cell r="J19">
            <v>0</v>
          </cell>
          <cell r="K19">
            <v>24160</v>
          </cell>
          <cell r="L19">
            <v>0</v>
          </cell>
          <cell r="M19">
            <v>0</v>
          </cell>
        </row>
      </sheetData>
      <sheetData sheetId="19">
        <row r="6">
          <cell r="B6">
            <v>131952.95</v>
          </cell>
          <cell r="C6">
            <v>119523.9</v>
          </cell>
          <cell r="D6">
            <v>70762</v>
          </cell>
          <cell r="E6">
            <v>114411.91</v>
          </cell>
          <cell r="F6">
            <v>133377.34</v>
          </cell>
          <cell r="G6">
            <v>144968.58</v>
          </cell>
          <cell r="H6">
            <v>177184.52</v>
          </cell>
          <cell r="I6">
            <v>179229.68</v>
          </cell>
          <cell r="J6">
            <v>181265.33</v>
          </cell>
          <cell r="K6">
            <v>180319.49</v>
          </cell>
          <cell r="L6">
            <v>0</v>
          </cell>
          <cell r="M6">
            <v>0</v>
          </cell>
        </row>
      </sheetData>
      <sheetData sheetId="20">
        <row r="35">
          <cell r="B35">
            <v>35610</v>
          </cell>
          <cell r="C35">
            <v>44383.6</v>
          </cell>
          <cell r="D35">
            <v>1839.6</v>
          </cell>
          <cell r="E35">
            <v>49364.52</v>
          </cell>
          <cell r="F35">
            <v>97762.04000000001</v>
          </cell>
          <cell r="G35">
            <v>11655</v>
          </cell>
          <cell r="H35">
            <v>26519</v>
          </cell>
          <cell r="I35">
            <v>32480.239999999998</v>
          </cell>
          <cell r="J35">
            <v>9236</v>
          </cell>
          <cell r="K35">
            <v>0</v>
          </cell>
          <cell r="L35">
            <v>0</v>
          </cell>
          <cell r="M35">
            <v>0</v>
          </cell>
        </row>
      </sheetData>
      <sheetData sheetId="21">
        <row r="11">
          <cell r="B11">
            <v>0</v>
          </cell>
          <cell r="C11">
            <v>161813.73</v>
          </cell>
          <cell r="D11">
            <v>271816.26</v>
          </cell>
          <cell r="E11">
            <v>0</v>
          </cell>
          <cell r="F11">
            <v>0</v>
          </cell>
        </row>
      </sheetData>
      <sheetData sheetId="22">
        <row r="37">
          <cell r="B37">
            <v>51273</v>
          </cell>
          <cell r="C37">
            <v>4473.62</v>
          </cell>
          <cell r="D37">
            <v>1038</v>
          </cell>
          <cell r="E37">
            <v>69850.59999999999</v>
          </cell>
          <cell r="F37">
            <v>0</v>
          </cell>
          <cell r="G37">
            <v>46952.009999999995</v>
          </cell>
          <cell r="H37">
            <v>38566</v>
          </cell>
          <cell r="I37">
            <v>1961.2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</sheetData>
      <sheetData sheetId="23">
        <row r="31">
          <cell r="B31">
            <v>22692</v>
          </cell>
          <cell r="C31">
            <v>85301.17</v>
          </cell>
          <cell r="D31">
            <v>0</v>
          </cell>
          <cell r="E31">
            <v>365004.17</v>
          </cell>
          <cell r="F31">
            <v>134978.35</v>
          </cell>
          <cell r="G31">
            <v>74278.01000000001</v>
          </cell>
          <cell r="H31">
            <v>115548.75</v>
          </cell>
          <cell r="I31">
            <v>114966.68</v>
          </cell>
          <cell r="J31">
            <v>50254.55</v>
          </cell>
          <cell r="K31">
            <v>101833.21</v>
          </cell>
          <cell r="L31">
            <v>0</v>
          </cell>
          <cell r="M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X62"/>
  <sheetViews>
    <sheetView tabSelected="1" view="pageBreakPreview" zoomScaleNormal="90" zoomScaleSheetLayoutView="100" workbookViewId="0" topLeftCell="A1">
      <selection activeCell="H1" sqref="H1:H16384"/>
    </sheetView>
  </sheetViews>
  <sheetFormatPr defaultColWidth="9.140625" defaultRowHeight="15"/>
  <cols>
    <col min="4" max="4" width="9.8515625" style="0" bestFit="1" customWidth="1"/>
    <col min="5" max="5" width="3.28125" style="0" customWidth="1"/>
    <col min="6" max="6" width="13.421875" style="4" bestFit="1" customWidth="1"/>
    <col min="7" max="7" width="10.8515625" style="4" customWidth="1"/>
    <col min="8" max="8" width="10.421875" style="0" hidden="1" customWidth="1"/>
    <col min="9" max="10" width="16.7109375" style="4" customWidth="1"/>
    <col min="11" max="11" width="11.8515625" style="4" bestFit="1" customWidth="1"/>
    <col min="12" max="13" width="12.421875" style="0" customWidth="1"/>
    <col min="14" max="15" width="11.8515625" style="0" bestFit="1" customWidth="1"/>
    <col min="16" max="16" width="12.421875" style="0" bestFit="1" customWidth="1"/>
    <col min="17" max="17" width="12.00390625" style="0" customWidth="1"/>
    <col min="18" max="18" width="12.8515625" style="0" customWidth="1"/>
    <col min="19" max="19" width="7.57421875" style="0" hidden="1" customWidth="1"/>
    <col min="20" max="20" width="4.7109375" style="0" hidden="1" customWidth="1"/>
    <col min="21" max="21" width="11.28125" style="4" bestFit="1" customWidth="1"/>
    <col min="22" max="22" width="13.421875" style="4" bestFit="1" customWidth="1"/>
    <col min="23" max="23" width="16.140625" style="4" customWidth="1"/>
    <col min="24" max="24" width="15.57421875" style="0" bestFit="1" customWidth="1"/>
  </cols>
  <sheetData>
    <row r="1" spans="1:23" ht="18" customHeight="1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2" ht="21" customHeight="1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4">
        <v>10</v>
      </c>
    </row>
    <row r="3" spans="1:23" ht="37.5" customHeight="1">
      <c r="A3" s="5" t="s">
        <v>3</v>
      </c>
      <c r="B3" s="6"/>
      <c r="C3" s="6"/>
      <c r="D3" s="6"/>
      <c r="E3" s="7"/>
      <c r="F3" s="8" t="s">
        <v>4</v>
      </c>
      <c r="G3" s="8" t="s">
        <v>5</v>
      </c>
      <c r="H3" s="9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8" t="s">
        <v>19</v>
      </c>
      <c r="V3" s="8" t="s">
        <v>20</v>
      </c>
      <c r="W3" s="11" t="s">
        <v>21</v>
      </c>
    </row>
    <row r="4" spans="1:23" ht="15" customHeight="1">
      <c r="A4" s="12"/>
      <c r="B4" s="13"/>
      <c r="C4" s="13"/>
      <c r="D4" s="13"/>
      <c r="E4" s="13"/>
      <c r="F4" s="14"/>
      <c r="G4" s="14"/>
      <c r="H4" s="15" t="s">
        <v>22</v>
      </c>
      <c r="I4" s="16"/>
      <c r="J4" s="16"/>
      <c r="K4" s="16"/>
      <c r="L4" s="16"/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6" t="s">
        <v>17</v>
      </c>
      <c r="T4" s="16" t="s">
        <v>18</v>
      </c>
      <c r="U4" s="14"/>
      <c r="V4" s="17"/>
      <c r="W4" s="18"/>
    </row>
    <row r="5" spans="1:23" ht="15.75">
      <c r="A5" s="19" t="s">
        <v>23</v>
      </c>
      <c r="B5" s="20"/>
      <c r="C5" s="20"/>
      <c r="D5" s="20"/>
      <c r="E5" s="20"/>
      <c r="F5" s="21">
        <v>31275180</v>
      </c>
      <c r="G5" s="22">
        <f>F5/12</f>
        <v>2606265</v>
      </c>
      <c r="H5" s="23">
        <f>4448484.47+3000000</f>
        <v>7448484.47</v>
      </c>
      <c r="I5" s="24">
        <v>2263023</v>
      </c>
      <c r="J5" s="24">
        <v>2752189</v>
      </c>
      <c r="K5" s="24">
        <v>2753117</v>
      </c>
      <c r="L5" s="23">
        <v>2500678</v>
      </c>
      <c r="M5" s="25">
        <v>2518660</v>
      </c>
      <c r="N5" s="26">
        <f>20000+2180064</f>
        <v>2200064</v>
      </c>
      <c r="O5" s="26">
        <f>20000+3085799.69</f>
        <v>3105799.69</v>
      </c>
      <c r="P5" s="24">
        <f>20000+2110957.39</f>
        <v>2130957.39</v>
      </c>
      <c r="Q5" s="27">
        <f>2697288.69+20000</f>
        <v>2717288.69</v>
      </c>
      <c r="R5" s="24">
        <v>2766471.69</v>
      </c>
      <c r="S5" s="24"/>
      <c r="T5" s="27"/>
      <c r="U5" s="28">
        <f aca="true" t="shared" si="0" ref="U5:U11">SUM(I5:T5)</f>
        <v>25708248.460000005</v>
      </c>
      <c r="V5" s="29">
        <f>G5*V2</f>
        <v>26062650</v>
      </c>
      <c r="W5" s="30">
        <f aca="true" t="shared" si="1" ref="W5:W11">U5-V5</f>
        <v>-354401.5399999954</v>
      </c>
    </row>
    <row r="6" spans="1:23" ht="15.75">
      <c r="A6" s="19" t="s">
        <v>24</v>
      </c>
      <c r="B6" s="20"/>
      <c r="C6" s="20"/>
      <c r="D6" s="20"/>
      <c r="E6" s="20"/>
      <c r="F6" s="31"/>
      <c r="G6" s="31"/>
      <c r="H6" s="32"/>
      <c r="I6" s="31"/>
      <c r="J6" s="31"/>
      <c r="K6" s="31"/>
      <c r="L6" s="32"/>
      <c r="M6" s="33"/>
      <c r="N6" s="33"/>
      <c r="O6" s="32"/>
      <c r="P6" s="32"/>
      <c r="Q6" s="32"/>
      <c r="R6" s="32"/>
      <c r="S6" s="32"/>
      <c r="T6" s="32"/>
      <c r="U6" s="28">
        <f t="shared" si="0"/>
        <v>0</v>
      </c>
      <c r="V6" s="34"/>
      <c r="W6" s="30">
        <f t="shared" si="1"/>
        <v>0</v>
      </c>
    </row>
    <row r="7" spans="1:23" ht="15.75">
      <c r="A7" s="19" t="s">
        <v>25</v>
      </c>
      <c r="B7" s="20"/>
      <c r="C7" s="20"/>
      <c r="D7" s="20"/>
      <c r="E7" s="20"/>
      <c r="F7" s="21">
        <v>450000</v>
      </c>
      <c r="G7" s="22">
        <f>F7/12</f>
        <v>37500</v>
      </c>
      <c r="H7" s="35"/>
      <c r="I7" s="24">
        <v>58852</v>
      </c>
      <c r="J7" s="24">
        <v>56173</v>
      </c>
      <c r="K7" s="24">
        <v>47597</v>
      </c>
      <c r="L7" s="23">
        <v>41120</v>
      </c>
      <c r="M7" s="25">
        <v>66700</v>
      </c>
      <c r="N7" s="26">
        <v>35640</v>
      </c>
      <c r="O7" s="24">
        <v>39217</v>
      </c>
      <c r="P7" s="24">
        <v>26830</v>
      </c>
      <c r="Q7" s="24">
        <f>14239-6080</f>
        <v>8159</v>
      </c>
      <c r="R7" s="24">
        <v>36998</v>
      </c>
      <c r="S7" s="24"/>
      <c r="T7" s="27"/>
      <c r="U7" s="28">
        <f t="shared" si="0"/>
        <v>417286</v>
      </c>
      <c r="V7" s="29">
        <f>G7*V2</f>
        <v>375000</v>
      </c>
      <c r="W7" s="30">
        <f t="shared" si="1"/>
        <v>42286</v>
      </c>
    </row>
    <row r="8" spans="1:23" ht="15.75">
      <c r="A8" s="19" t="s">
        <v>26</v>
      </c>
      <c r="B8" s="20"/>
      <c r="C8" s="20"/>
      <c r="D8" s="20"/>
      <c r="E8" s="20"/>
      <c r="F8" s="36"/>
      <c r="G8" s="36"/>
      <c r="H8" s="37"/>
      <c r="I8" s="38"/>
      <c r="J8" s="38"/>
      <c r="K8" s="38"/>
      <c r="L8" s="37"/>
      <c r="M8" s="39"/>
      <c r="N8" s="40"/>
      <c r="O8" s="38"/>
      <c r="P8" s="38"/>
      <c r="Q8" s="38"/>
      <c r="R8" s="38"/>
      <c r="S8" s="38"/>
      <c r="T8" s="38"/>
      <c r="U8" s="28">
        <f t="shared" si="0"/>
        <v>0</v>
      </c>
      <c r="V8" s="34"/>
      <c r="W8" s="30">
        <f t="shared" si="1"/>
        <v>0</v>
      </c>
    </row>
    <row r="9" spans="1:23" ht="15.75">
      <c r="A9" s="19" t="s">
        <v>27</v>
      </c>
      <c r="B9" s="20"/>
      <c r="C9" s="20"/>
      <c r="D9" s="20"/>
      <c r="E9" s="20"/>
      <c r="F9" s="41"/>
      <c r="G9" s="41"/>
      <c r="H9" s="32"/>
      <c r="I9" s="41">
        <v>44752.33</v>
      </c>
      <c r="J9" s="41">
        <v>15822.74</v>
      </c>
      <c r="K9" s="41">
        <v>8680</v>
      </c>
      <c r="L9" s="35">
        <v>13637.53</v>
      </c>
      <c r="M9" s="40">
        <v>0</v>
      </c>
      <c r="N9" s="40">
        <v>11861.92</v>
      </c>
      <c r="O9" s="38">
        <v>0</v>
      </c>
      <c r="P9" s="40">
        <v>8203.48</v>
      </c>
      <c r="Q9" s="40">
        <v>9952.67</v>
      </c>
      <c r="R9" s="40">
        <v>6913.15</v>
      </c>
      <c r="S9" s="37"/>
      <c r="T9" s="42"/>
      <c r="U9" s="28">
        <f t="shared" si="0"/>
        <v>119823.81999999999</v>
      </c>
      <c r="V9" s="34"/>
      <c r="W9" s="30">
        <f t="shared" si="1"/>
        <v>119823.81999999999</v>
      </c>
    </row>
    <row r="10" spans="1:23" ht="16.5" thickBot="1">
      <c r="A10" s="43" t="s">
        <v>28</v>
      </c>
      <c r="B10" s="44"/>
      <c r="C10" s="45"/>
      <c r="D10" s="45"/>
      <c r="E10" s="45"/>
      <c r="F10" s="21">
        <v>560000</v>
      </c>
      <c r="G10" s="46">
        <f>F10/12</f>
        <v>46666.666666666664</v>
      </c>
      <c r="H10" s="47"/>
      <c r="I10" s="48">
        <f>54517.9-16823</f>
        <v>37694.9</v>
      </c>
      <c r="J10" s="48">
        <v>65995.2</v>
      </c>
      <c r="K10" s="48">
        <v>47294.85</v>
      </c>
      <c r="L10" s="48">
        <f>67316.45+58200</f>
        <v>125516.45</v>
      </c>
      <c r="M10" s="48">
        <f>20000+721.12+4271.26+15000+326+3128.32+4250+26002.7</f>
        <v>73699.4</v>
      </c>
      <c r="N10" s="48">
        <f>20000+3931.69+15000+326+2000+10000</f>
        <v>51257.69</v>
      </c>
      <c r="O10" s="48">
        <f>20000+15000+1088.32+9500+326</f>
        <v>45914.32</v>
      </c>
      <c r="P10" s="48">
        <f>20000+3732.64+15000+326+2000+17517.51</f>
        <v>58576.149999999994</v>
      </c>
      <c r="Q10" s="48">
        <v>39404.86</v>
      </c>
      <c r="R10" s="48">
        <v>82166.83</v>
      </c>
      <c r="S10" s="49"/>
      <c r="T10" s="49"/>
      <c r="U10" s="50">
        <f t="shared" si="0"/>
        <v>627520.65</v>
      </c>
      <c r="V10" s="51">
        <f>G10*V2</f>
        <v>466666.6666666666</v>
      </c>
      <c r="W10" s="52">
        <f t="shared" si="1"/>
        <v>160853.9833333334</v>
      </c>
    </row>
    <row r="11" spans="1:24" ht="15.75">
      <c r="A11" s="53" t="s">
        <v>29</v>
      </c>
      <c r="B11" s="54"/>
      <c r="C11" s="54"/>
      <c r="D11" s="54"/>
      <c r="E11" s="55"/>
      <c r="F11" s="56">
        <f aca="true" t="shared" si="2" ref="F11:T11">SUM(F5:F10)</f>
        <v>32285180</v>
      </c>
      <c r="G11" s="57">
        <f t="shared" si="2"/>
        <v>2690431.6666666665</v>
      </c>
      <c r="H11" s="58">
        <f t="shared" si="2"/>
        <v>7448484.47</v>
      </c>
      <c r="I11" s="59">
        <f t="shared" si="2"/>
        <v>2404322.23</v>
      </c>
      <c r="J11" s="59">
        <f t="shared" si="2"/>
        <v>2890179.9400000004</v>
      </c>
      <c r="K11" s="59">
        <f t="shared" si="2"/>
        <v>2856688.85</v>
      </c>
      <c r="L11" s="59">
        <f t="shared" si="2"/>
        <v>2680951.98</v>
      </c>
      <c r="M11" s="59">
        <f t="shared" si="2"/>
        <v>2659059.4</v>
      </c>
      <c r="N11" s="59">
        <f t="shared" si="2"/>
        <v>2298823.61</v>
      </c>
      <c r="O11" s="59">
        <f t="shared" si="2"/>
        <v>3190931.01</v>
      </c>
      <c r="P11" s="59">
        <f t="shared" si="2"/>
        <v>2224567.02</v>
      </c>
      <c r="Q11" s="59">
        <f t="shared" si="2"/>
        <v>2774805.2199999997</v>
      </c>
      <c r="R11" s="59">
        <f t="shared" si="2"/>
        <v>2892549.67</v>
      </c>
      <c r="S11" s="59">
        <f t="shared" si="2"/>
        <v>0</v>
      </c>
      <c r="T11" s="59">
        <f t="shared" si="2"/>
        <v>0</v>
      </c>
      <c r="U11" s="60">
        <f t="shared" si="0"/>
        <v>26872878.93</v>
      </c>
      <c r="V11" s="29">
        <f>SUM(V5:V10)</f>
        <v>26904316.666666668</v>
      </c>
      <c r="W11" s="61">
        <f t="shared" si="1"/>
        <v>-31437.736666668206</v>
      </c>
      <c r="X11" s="62"/>
    </row>
    <row r="12" spans="1:23" ht="33" customHeight="1">
      <c r="A12" s="63" t="s">
        <v>30</v>
      </c>
      <c r="B12" s="64"/>
      <c r="C12" s="64"/>
      <c r="D12" s="64"/>
      <c r="E12" s="64"/>
      <c r="F12" s="65"/>
      <c r="G12" s="65"/>
      <c r="H12" s="66"/>
      <c r="I12" s="65"/>
      <c r="J12" s="65"/>
      <c r="K12" s="65"/>
      <c r="L12" s="66"/>
      <c r="M12" s="67"/>
      <c r="N12" s="67"/>
      <c r="O12" s="66"/>
      <c r="P12" s="66"/>
      <c r="Q12" s="66"/>
      <c r="R12" s="66"/>
      <c r="S12" s="66"/>
      <c r="T12" s="66"/>
      <c r="U12" s="68"/>
      <c r="V12" s="69"/>
      <c r="W12" s="70" t="s">
        <v>31</v>
      </c>
    </row>
    <row r="13" spans="1:23" ht="15.75">
      <c r="A13" s="71" t="s">
        <v>32</v>
      </c>
      <c r="B13" s="72"/>
      <c r="C13" s="72"/>
      <c r="D13" s="72"/>
      <c r="E13" s="72"/>
      <c r="F13" s="21">
        <v>750000</v>
      </c>
      <c r="G13" s="22">
        <f aca="true" t="shared" si="3" ref="G13:G29">F13/12</f>
        <v>62500</v>
      </c>
      <c r="H13" s="32"/>
      <c r="I13" s="73">
        <f>'[1]общехоз расходы'!B77</f>
        <v>69285.14000000001</v>
      </c>
      <c r="J13" s="73">
        <f>'[1]общехоз расходы'!C77</f>
        <v>62428.83</v>
      </c>
      <c r="K13" s="73">
        <f>'[1]общехоз расходы'!D77</f>
        <v>39254.81999999999</v>
      </c>
      <c r="L13" s="73">
        <f>'[1]общехоз расходы'!E77</f>
        <v>127325.63</v>
      </c>
      <c r="M13" s="73">
        <f>'[1]общехоз расходы'!F77</f>
        <v>70935.51000000001</v>
      </c>
      <c r="N13" s="73">
        <f>'[1]общехоз расходы'!G77</f>
        <v>65120.65</v>
      </c>
      <c r="O13" s="73">
        <f>'[1]общехоз расходы'!H77</f>
        <v>81754.81999999999</v>
      </c>
      <c r="P13" s="73">
        <f>'[1]общехоз расходы'!I77</f>
        <v>24030.97</v>
      </c>
      <c r="Q13" s="73">
        <f>'[1]общехоз расходы'!J77</f>
        <v>56881.57</v>
      </c>
      <c r="R13" s="73">
        <f>'[1]общехоз расходы'!K77</f>
        <v>50281.270000000004</v>
      </c>
      <c r="S13" s="73">
        <f>'[1]общехоз расходы'!L75</f>
        <v>0</v>
      </c>
      <c r="T13" s="73">
        <f>'[1]общехоз расходы'!M75</f>
        <v>0</v>
      </c>
      <c r="U13" s="28">
        <f aca="true" t="shared" si="4" ref="U13:U33">SUM(I13:T13)</f>
        <v>647299.2100000001</v>
      </c>
      <c r="V13" s="29">
        <f aca="true" t="shared" si="5" ref="V13:V29">G13*$V$2</f>
        <v>625000</v>
      </c>
      <c r="W13" s="74">
        <f aca="true" t="shared" si="6" ref="W13:W33">V13-U13</f>
        <v>-22299.21000000008</v>
      </c>
    </row>
    <row r="14" spans="1:23" ht="15.75">
      <c r="A14" s="75" t="s">
        <v>33</v>
      </c>
      <c r="B14" s="13"/>
      <c r="C14" s="13"/>
      <c r="D14" s="13"/>
      <c r="E14" s="13"/>
      <c r="F14" s="56">
        <v>50000</v>
      </c>
      <c r="G14" s="22">
        <f t="shared" si="3"/>
        <v>4166.666666666667</v>
      </c>
      <c r="H14" s="76"/>
      <c r="I14" s="77">
        <f>'[1]программ обеспечение'!B11</f>
        <v>7000</v>
      </c>
      <c r="J14" s="77">
        <f>'[1]программ обеспечение'!C11</f>
        <v>0</v>
      </c>
      <c r="K14" s="77">
        <f>'[1]программ обеспечение'!D11</f>
        <v>3538.13</v>
      </c>
      <c r="L14" s="77">
        <f>'[1]программ обеспечение'!E11</f>
        <v>8000</v>
      </c>
      <c r="M14" s="77">
        <f>'[1]программ обеспечение'!F11</f>
        <v>1190</v>
      </c>
      <c r="N14" s="77">
        <f>'[1]программ обеспечение'!G11</f>
        <v>0</v>
      </c>
      <c r="O14" s="73">
        <f>'[1]программ обеспечение'!H11</f>
        <v>0</v>
      </c>
      <c r="P14" s="73">
        <f>'[1]программ обеспечение'!I11</f>
        <v>0</v>
      </c>
      <c r="Q14" s="73">
        <f>'[1]программ обеспечение'!J11</f>
        <v>4908</v>
      </c>
      <c r="R14" s="73">
        <f>'[1]программ обеспечение'!K11</f>
        <v>0</v>
      </c>
      <c r="S14" s="73">
        <f>'[1]программ обеспечение'!L11</f>
        <v>0</v>
      </c>
      <c r="T14" s="73">
        <f>'[1]программ обеспечение'!M11</f>
        <v>0</v>
      </c>
      <c r="U14" s="28">
        <f t="shared" si="4"/>
        <v>24636.13</v>
      </c>
      <c r="V14" s="29">
        <f t="shared" si="5"/>
        <v>41666.66666666667</v>
      </c>
      <c r="W14" s="74">
        <f t="shared" si="6"/>
        <v>17030.53666666667</v>
      </c>
    </row>
    <row r="15" spans="1:23" ht="15.75">
      <c r="A15" s="71" t="s">
        <v>34</v>
      </c>
      <c r="B15" s="72"/>
      <c r="C15" s="72"/>
      <c r="D15" s="72"/>
      <c r="E15" s="78"/>
      <c r="F15" s="21">
        <v>100000</v>
      </c>
      <c r="G15" s="22">
        <f t="shared" si="3"/>
        <v>8333.333333333334</v>
      </c>
      <c r="H15" s="32"/>
      <c r="I15" s="73">
        <f>'[1]услуги связи'!B7</f>
        <v>13213.33</v>
      </c>
      <c r="J15" s="73">
        <f>'[1]услуги связи'!C7</f>
        <v>20000</v>
      </c>
      <c r="K15" s="73">
        <f>'[1]услуги связи'!D7</f>
        <v>9000</v>
      </c>
      <c r="L15" s="73">
        <f>'[1]услуги связи'!E7</f>
        <v>8000</v>
      </c>
      <c r="M15" s="73">
        <f>'[1]услуги связи'!F7</f>
        <v>5000</v>
      </c>
      <c r="N15" s="73">
        <f>'[1]услуги связи'!G7</f>
        <v>6000</v>
      </c>
      <c r="O15" s="73">
        <f>'[1]услуги связи'!H7</f>
        <v>15000</v>
      </c>
      <c r="P15" s="73">
        <f>'[1]услуги связи'!I7</f>
        <v>7000</v>
      </c>
      <c r="Q15" s="73">
        <f>'[1]услуги связи'!J7</f>
        <v>7000</v>
      </c>
      <c r="R15" s="73">
        <f>'[1]услуги связи'!K7</f>
        <v>7000</v>
      </c>
      <c r="S15" s="73">
        <f>'[1]услуги связи'!L7</f>
        <v>0</v>
      </c>
      <c r="T15" s="73">
        <f>'[1]услуги связи'!M7</f>
        <v>0</v>
      </c>
      <c r="U15" s="28">
        <f t="shared" si="4"/>
        <v>97213.33</v>
      </c>
      <c r="V15" s="29">
        <f t="shared" si="5"/>
        <v>83333.33333333334</v>
      </c>
      <c r="W15" s="74">
        <f t="shared" si="6"/>
        <v>-13879.996666666659</v>
      </c>
    </row>
    <row r="16" spans="1:23" ht="15.75">
      <c r="A16" s="75" t="s">
        <v>35</v>
      </c>
      <c r="B16" s="13"/>
      <c r="C16" s="13"/>
      <c r="D16" s="13"/>
      <c r="E16" s="79"/>
      <c r="F16" s="56">
        <v>7500000</v>
      </c>
      <c r="G16" s="22">
        <f t="shared" si="3"/>
        <v>625000</v>
      </c>
      <c r="H16" s="76"/>
      <c r="I16" s="77">
        <f>'[1]з пл'!B6</f>
        <v>607993.309</v>
      </c>
      <c r="J16" s="77">
        <f>'[1]з пл'!C6</f>
        <v>846319.86</v>
      </c>
      <c r="K16" s="77">
        <f>'[1]з пл'!D6</f>
        <v>523883.59</v>
      </c>
      <c r="L16" s="77">
        <f>'[1]з пл'!E6</f>
        <v>599763.37</v>
      </c>
      <c r="M16" s="80">
        <f>'[1]з пл'!F6</f>
        <v>520399.55</v>
      </c>
      <c r="N16" s="77">
        <f>'[1]з пл'!G6</f>
        <v>710981.64</v>
      </c>
      <c r="O16" s="73">
        <f>'[1]з пл'!H6</f>
        <v>973746.4199999999</v>
      </c>
      <c r="P16" s="73">
        <f>'[1]з пл'!I6</f>
        <v>118394.44</v>
      </c>
      <c r="Q16" s="73">
        <f>'[1]з пл'!J6</f>
        <v>583431.76</v>
      </c>
      <c r="R16" s="73">
        <f>'[1]з пл'!K6</f>
        <v>768453.93</v>
      </c>
      <c r="S16" s="73">
        <f>'[1]з пл'!L6</f>
        <v>0</v>
      </c>
      <c r="T16" s="73">
        <f>'[1]з пл'!M6</f>
        <v>0</v>
      </c>
      <c r="U16" s="28">
        <f t="shared" si="4"/>
        <v>6253367.869</v>
      </c>
      <c r="V16" s="29">
        <f t="shared" si="5"/>
        <v>6250000</v>
      </c>
      <c r="W16" s="74">
        <f t="shared" si="6"/>
        <v>-3367.868999999948</v>
      </c>
    </row>
    <row r="17" spans="1:23" ht="15.75">
      <c r="A17" s="75" t="s">
        <v>36</v>
      </c>
      <c r="B17" s="13"/>
      <c r="C17" s="13"/>
      <c r="D17" s="13"/>
      <c r="E17" s="13"/>
      <c r="F17" s="56">
        <v>500000</v>
      </c>
      <c r="G17" s="22">
        <f t="shared" si="3"/>
        <v>41666.666666666664</v>
      </c>
      <c r="H17" s="76"/>
      <c r="I17" s="77">
        <f>'[1]премиальный фонд'!B5</f>
        <v>82861.11</v>
      </c>
      <c r="J17" s="77">
        <f>'[1]премиальный фонд'!C5</f>
        <v>6640.63</v>
      </c>
      <c r="K17" s="77">
        <f>'[1]премиальный фонд'!D5</f>
        <v>13426</v>
      </c>
      <c r="L17" s="77">
        <f>'[1]премиальный фонд'!E5</f>
        <v>8250</v>
      </c>
      <c r="M17" s="80">
        <f>'[1]премиальный фонд'!F5</f>
        <v>15152.68</v>
      </c>
      <c r="N17" s="77">
        <f>'[1]премиальный фонд'!G5</f>
        <v>11770.38</v>
      </c>
      <c r="O17" s="77">
        <f>'[1]премиальный фонд'!H5</f>
        <v>72267.12</v>
      </c>
      <c r="P17" s="77">
        <f>'[1]премиальный фонд'!I5</f>
        <v>0</v>
      </c>
      <c r="Q17" s="77">
        <f>'[1]премиальный фонд'!J5</f>
        <v>91416.91</v>
      </c>
      <c r="R17" s="77">
        <f>'[1]премиальный фонд'!K5</f>
        <v>54242.11</v>
      </c>
      <c r="S17" s="73">
        <f>'[1]премиальный фонд'!L5</f>
        <v>0</v>
      </c>
      <c r="T17" s="73">
        <f>'[1]премиальный фонд'!M5</f>
        <v>0</v>
      </c>
      <c r="U17" s="28">
        <f t="shared" si="4"/>
        <v>356026.94</v>
      </c>
      <c r="V17" s="29">
        <f t="shared" si="5"/>
        <v>416666.6666666666</v>
      </c>
      <c r="W17" s="74">
        <f t="shared" si="6"/>
        <v>60639.726666666626</v>
      </c>
    </row>
    <row r="18" spans="1:23" ht="15.75">
      <c r="A18" s="75" t="s">
        <v>37</v>
      </c>
      <c r="B18" s="13"/>
      <c r="C18" s="13"/>
      <c r="D18" s="13"/>
      <c r="E18" s="13"/>
      <c r="F18" s="56">
        <v>2420000</v>
      </c>
      <c r="G18" s="22">
        <f t="shared" si="3"/>
        <v>201666.66666666666</v>
      </c>
      <c r="H18" s="76"/>
      <c r="I18" s="77">
        <f>'[1]налог с ФОТ'!B5</f>
        <v>180380.46</v>
      </c>
      <c r="J18" s="77">
        <f>'[1]налог с ФОТ'!C5</f>
        <v>181978.21000000002</v>
      </c>
      <c r="K18" s="77">
        <f>'[1]налог с ФОТ'!D5</f>
        <v>223859.49000000002</v>
      </c>
      <c r="L18" s="77">
        <f>'[1]налог с ФОТ'!E5</f>
        <v>130876.79999999999</v>
      </c>
      <c r="M18" s="80">
        <f>'[1]налог с ФОТ'!F5</f>
        <v>169873.41999999998</v>
      </c>
      <c r="N18" s="77">
        <f>'[1]налог с ФОТ'!G5</f>
        <v>221352.77000000002</v>
      </c>
      <c r="O18" s="77">
        <f>'[1]налог с ФОТ'!H5</f>
        <v>314385.86</v>
      </c>
      <c r="P18" s="77">
        <f>'[1]налог с ФОТ'!I5</f>
        <v>0</v>
      </c>
      <c r="Q18" s="77">
        <f>'[1]налог с ФОТ'!J5</f>
        <v>163462.74</v>
      </c>
      <c r="R18" s="77">
        <f>'[1]налог с ФОТ'!K5</f>
        <v>304769.94</v>
      </c>
      <c r="S18" s="73">
        <f>'[1]налог с ФОТ'!L5</f>
        <v>0</v>
      </c>
      <c r="T18" s="73">
        <f>'[1]налог с ФОТ'!M5</f>
        <v>0</v>
      </c>
      <c r="U18" s="28">
        <f t="shared" si="4"/>
        <v>1890939.6899999997</v>
      </c>
      <c r="V18" s="29">
        <f t="shared" si="5"/>
        <v>2016666.6666666665</v>
      </c>
      <c r="W18" s="74">
        <f t="shared" si="6"/>
        <v>125726.9766666668</v>
      </c>
    </row>
    <row r="19" spans="1:23" ht="15.75">
      <c r="A19" s="75" t="s">
        <v>38</v>
      </c>
      <c r="B19" s="13"/>
      <c r="C19" s="13"/>
      <c r="D19" s="13"/>
      <c r="E19" s="13"/>
      <c r="F19" s="56">
        <v>150000</v>
      </c>
      <c r="G19" s="22">
        <f t="shared" si="3"/>
        <v>12500</v>
      </c>
      <c r="H19" s="76"/>
      <c r="I19" s="77">
        <f>'[1]приобрт инвентаря и оборуд'!B18</f>
        <v>0</v>
      </c>
      <c r="J19" s="77">
        <f>'[1]приобрт инвентаря и оборуд'!C18</f>
        <v>0</v>
      </c>
      <c r="K19" s="77">
        <f>'[1]приобрт инвентаря и оборуд'!D18</f>
        <v>7603</v>
      </c>
      <c r="L19" s="77">
        <f>'[1]приобрт инвентаря и оборуд'!E18</f>
        <v>1579</v>
      </c>
      <c r="M19" s="77">
        <f>'[1]приобрт инвентаря и оборуд'!F18</f>
        <v>2858</v>
      </c>
      <c r="N19" s="77">
        <f>'[1]приобрт инвентаря и оборуд'!G18</f>
        <v>950</v>
      </c>
      <c r="O19" s="77">
        <f>'[1]приобрт инвентаря и оборуд'!H18</f>
        <v>1261</v>
      </c>
      <c r="P19" s="77">
        <f>'[1]приобрт инвентаря и оборуд'!I18</f>
        <v>0</v>
      </c>
      <c r="Q19" s="77">
        <f>'[1]приобрт инвентаря и оборуд'!J18</f>
        <v>578</v>
      </c>
      <c r="R19" s="77">
        <f>'[1]приобрт инвентаря и оборуд'!K18</f>
        <v>1024</v>
      </c>
      <c r="S19" s="77">
        <f>'[1]приобрт инвентаря и оборуд'!L18</f>
        <v>0</v>
      </c>
      <c r="T19" s="77">
        <f>'[1]приобрт инвентаря и оборуд'!M18</f>
        <v>0</v>
      </c>
      <c r="U19" s="28">
        <f t="shared" si="4"/>
        <v>15853</v>
      </c>
      <c r="V19" s="29">
        <f t="shared" si="5"/>
        <v>125000</v>
      </c>
      <c r="W19" s="74">
        <f t="shared" si="6"/>
        <v>109147</v>
      </c>
    </row>
    <row r="20" spans="1:23" ht="15.75">
      <c r="A20" s="71" t="s">
        <v>39</v>
      </c>
      <c r="B20" s="72"/>
      <c r="C20" s="72"/>
      <c r="D20" s="72"/>
      <c r="E20" s="72"/>
      <c r="F20" s="21">
        <v>3900000</v>
      </c>
      <c r="G20" s="22">
        <f t="shared" si="3"/>
        <v>325000</v>
      </c>
      <c r="H20" s="32"/>
      <c r="I20" s="73">
        <f>'[1]вывоз мусора'!B10</f>
        <v>430000</v>
      </c>
      <c r="J20" s="73">
        <f>'[1]вывоз мусора'!C10</f>
        <v>340000</v>
      </c>
      <c r="K20" s="73">
        <f>'[1]вывоз мусора'!D10</f>
        <v>370000</v>
      </c>
      <c r="L20" s="73">
        <f>'[1]вывоз мусора'!E10</f>
        <v>380000</v>
      </c>
      <c r="M20" s="73">
        <f>'[1]вывоз мусора'!F10</f>
        <v>423000</v>
      </c>
      <c r="N20" s="73">
        <f>'[1]вывоз мусора'!G10</f>
        <v>603000</v>
      </c>
      <c r="O20" s="73">
        <f>'[1]вывоз мусора'!H10</f>
        <v>351000</v>
      </c>
      <c r="P20" s="73">
        <f>'[1]вывоз мусора'!I10</f>
        <v>396518.94</v>
      </c>
      <c r="Q20" s="73">
        <f>'[1]вывоз мусора'!J10</f>
        <v>189000</v>
      </c>
      <c r="R20" s="73">
        <f>'[1]вывоз мусора'!K10</f>
        <v>143750</v>
      </c>
      <c r="S20" s="73">
        <f>'[1]вывоз мусора'!L10</f>
        <v>0</v>
      </c>
      <c r="T20" s="73">
        <f>'[1]вывоз мусора'!M10</f>
        <v>0</v>
      </c>
      <c r="U20" s="28">
        <f t="shared" si="4"/>
        <v>3626268.94</v>
      </c>
      <c r="V20" s="29">
        <f t="shared" si="5"/>
        <v>3250000</v>
      </c>
      <c r="W20" s="74">
        <f t="shared" si="6"/>
        <v>-376268.93999999994</v>
      </c>
    </row>
    <row r="21" spans="1:23" ht="15.75">
      <c r="A21" s="71" t="s">
        <v>40</v>
      </c>
      <c r="B21" s="72"/>
      <c r="C21" s="72"/>
      <c r="D21" s="72"/>
      <c r="E21" s="78"/>
      <c r="F21" s="21">
        <v>6210000</v>
      </c>
      <c r="G21" s="22">
        <f t="shared" si="3"/>
        <v>517500</v>
      </c>
      <c r="H21" s="32"/>
      <c r="I21" s="73">
        <f>'[1]сод охраны'!B7</f>
        <v>0</v>
      </c>
      <c r="J21" s="73">
        <f>'[1]сод охраны'!C7</f>
        <v>517121.4</v>
      </c>
      <c r="K21" s="73">
        <f>'[1]сод охраны'!D7</f>
        <v>517121.4</v>
      </c>
      <c r="L21" s="73">
        <f>'[1]сод охраны'!E7</f>
        <v>517121.4</v>
      </c>
      <c r="M21" s="73">
        <f>'[1]сод охраны'!F7</f>
        <v>517121.4</v>
      </c>
      <c r="N21" s="73">
        <f>'[1]сод охраны'!G7</f>
        <v>517121.4</v>
      </c>
      <c r="O21" s="73">
        <f>'[1]сод охраны'!H7</f>
        <v>1034242.8</v>
      </c>
      <c r="P21" s="73">
        <f>'[1]сод охраны'!I7</f>
        <v>0</v>
      </c>
      <c r="Q21" s="73">
        <f>'[1]сод охраны'!J7</f>
        <v>517121.4</v>
      </c>
      <c r="R21" s="73">
        <f>'[1]сод охраны'!K7</f>
        <v>517121.4</v>
      </c>
      <c r="S21" s="73">
        <f>'[1]сод охраны'!L7</f>
        <v>0</v>
      </c>
      <c r="T21" s="73">
        <f>'[1]сод охраны'!M7</f>
        <v>0</v>
      </c>
      <c r="U21" s="28">
        <f t="shared" si="4"/>
        <v>4654092.6</v>
      </c>
      <c r="V21" s="29">
        <f t="shared" si="5"/>
        <v>5175000</v>
      </c>
      <c r="W21" s="74">
        <f t="shared" si="6"/>
        <v>520907.4000000004</v>
      </c>
    </row>
    <row r="22" spans="1:23" ht="15.75">
      <c r="A22" s="75" t="s">
        <v>41</v>
      </c>
      <c r="B22" s="13"/>
      <c r="C22" s="13"/>
      <c r="D22" s="13"/>
      <c r="E22" s="13"/>
      <c r="F22" s="56">
        <v>250000</v>
      </c>
      <c r="G22" s="22">
        <f t="shared" si="3"/>
        <v>20833.333333333332</v>
      </c>
      <c r="H22" s="76"/>
      <c r="I22" s="77">
        <f>'[1]содерж газ оборуд'!B6</f>
        <v>20697.67</v>
      </c>
      <c r="J22" s="77">
        <f>'[1]содерж газ оборуд'!C6</f>
        <v>20697.67</v>
      </c>
      <c r="K22" s="77">
        <f>'[1]содерж газ оборуд'!D6</f>
        <v>20697.67</v>
      </c>
      <c r="L22" s="77">
        <f>'[1]содерж газ оборуд'!E6</f>
        <v>20697.67</v>
      </c>
      <c r="M22" s="77">
        <f>'[1]содерж газ оборуд'!F6</f>
        <v>20697.67</v>
      </c>
      <c r="N22" s="77">
        <f>'[1]содерж газ оборуд'!G6</f>
        <v>20697.67</v>
      </c>
      <c r="O22" s="77">
        <f>'[1]содерж газ оборуд'!H6</f>
        <v>41395.4</v>
      </c>
      <c r="P22" s="77">
        <f>'[1]содерж газ оборуд'!I6</f>
        <v>0</v>
      </c>
      <c r="Q22" s="77">
        <f>'[1]содерж газ оборуд'!J6</f>
        <v>20697.67</v>
      </c>
      <c r="R22" s="77">
        <f>'[1]содерж газ оборуд'!K6</f>
        <v>20697.67</v>
      </c>
      <c r="S22" s="77">
        <f>'[1]содерж газ оборуд'!L6</f>
        <v>0</v>
      </c>
      <c r="T22" s="77">
        <f>'[1]содерж газ оборуд'!M6</f>
        <v>0</v>
      </c>
      <c r="U22" s="28">
        <f t="shared" si="4"/>
        <v>206976.75999999995</v>
      </c>
      <c r="V22" s="29">
        <f t="shared" si="5"/>
        <v>208333.3333333333</v>
      </c>
      <c r="W22" s="74">
        <f t="shared" si="6"/>
        <v>1356.5733333333628</v>
      </c>
    </row>
    <row r="23" spans="1:23" ht="15.75">
      <c r="A23" s="71" t="s">
        <v>42</v>
      </c>
      <c r="B23" s="72"/>
      <c r="C23" s="72"/>
      <c r="D23" s="72"/>
      <c r="E23" s="72"/>
      <c r="F23" s="21">
        <v>400000</v>
      </c>
      <c r="G23" s="22">
        <f t="shared" si="3"/>
        <v>33333.333333333336</v>
      </c>
      <c r="H23" s="32"/>
      <c r="I23" s="73">
        <f>'[1]сод сетей водоснабжения'!B34</f>
        <v>0</v>
      </c>
      <c r="J23" s="73">
        <f>'[1]сод сетей водоснабжения'!C34</f>
        <v>32951</v>
      </c>
      <c r="K23" s="73">
        <f>'[1]сод сетей водоснабжения'!D34</f>
        <v>15533</v>
      </c>
      <c r="L23" s="73">
        <f>'[1]сод сетей водоснабжения'!E34</f>
        <v>59031.03999999999</v>
      </c>
      <c r="M23" s="73">
        <f>'[1]сод сетей водоснабжения'!F34</f>
        <v>65381</v>
      </c>
      <c r="N23" s="73">
        <f>'[1]сод сетей водоснабжения'!G34</f>
        <v>63974.479999999996</v>
      </c>
      <c r="O23" s="73">
        <f>'[1]сод сетей водоснабжения'!H34</f>
        <v>31066</v>
      </c>
      <c r="P23" s="73">
        <f>'[1]сод сетей водоснабжения'!I34</f>
        <v>134577</v>
      </c>
      <c r="Q23" s="73">
        <f>'[1]сод сетей водоснабжения'!J34</f>
        <v>54547</v>
      </c>
      <c r="R23" s="73">
        <f>'[1]сод сетей водоснабжения'!K34</f>
        <v>0</v>
      </c>
      <c r="S23" s="73">
        <f>'[1]сод сетей водоснабжения'!L34</f>
        <v>0</v>
      </c>
      <c r="T23" s="73">
        <f>'[1]сод сетей водоснабжения'!M34</f>
        <v>0</v>
      </c>
      <c r="U23" s="28">
        <f t="shared" si="4"/>
        <v>457060.51999999996</v>
      </c>
      <c r="V23" s="29">
        <f t="shared" si="5"/>
        <v>333333.3333333334</v>
      </c>
      <c r="W23" s="74">
        <f t="shared" si="6"/>
        <v>-123727.18666666659</v>
      </c>
    </row>
    <row r="24" spans="1:23" ht="15.75">
      <c r="A24" s="71" t="s">
        <v>43</v>
      </c>
      <c r="B24" s="72"/>
      <c r="C24" s="72"/>
      <c r="D24" s="72"/>
      <c r="E24" s="72"/>
      <c r="F24" s="21">
        <v>250000</v>
      </c>
      <c r="G24" s="22">
        <f t="shared" si="3"/>
        <v>20833.333333333332</v>
      </c>
      <c r="H24" s="32"/>
      <c r="I24" s="73">
        <f>'[1]сод сетей канализации'!B29</f>
        <v>1565</v>
      </c>
      <c r="J24" s="73">
        <f>'[1]сод сетей канализации'!C29</f>
        <v>31275</v>
      </c>
      <c r="K24" s="73">
        <f>'[1]сод сетей канализации'!D29</f>
        <v>6146</v>
      </c>
      <c r="L24" s="73">
        <f>'[1]сод сетей канализации'!E29</f>
        <v>5126</v>
      </c>
      <c r="M24" s="73">
        <f>'[1]сод сетей канализации'!F29</f>
        <v>2560.6</v>
      </c>
      <c r="N24" s="73">
        <f>'[1]сод сетей канализации'!G29</f>
        <v>0</v>
      </c>
      <c r="O24" s="73">
        <f>'[1]сод сетей канализации'!H29</f>
        <v>2506</v>
      </c>
      <c r="P24" s="73">
        <f>'[1]сод сетей канализации'!I29</f>
        <v>14162.5</v>
      </c>
      <c r="Q24" s="73">
        <f>'[1]сод сетей канализации'!J29</f>
        <v>6115.125</v>
      </c>
      <c r="R24" s="73">
        <f>'[1]сод сетей канализации'!K29</f>
        <v>6669</v>
      </c>
      <c r="S24" s="73">
        <f>'[1]сод сетей канализации'!L29</f>
        <v>0</v>
      </c>
      <c r="T24" s="73">
        <f>'[1]сод сетей канализации'!M29</f>
        <v>0</v>
      </c>
      <c r="U24" s="28">
        <f t="shared" si="4"/>
        <v>76125.225</v>
      </c>
      <c r="V24" s="29">
        <f t="shared" si="5"/>
        <v>208333.3333333333</v>
      </c>
      <c r="W24" s="74">
        <f t="shared" si="6"/>
        <v>132208.1083333333</v>
      </c>
    </row>
    <row r="25" spans="1:23" ht="15.75">
      <c r="A25" s="71" t="s">
        <v>44</v>
      </c>
      <c r="B25" s="72"/>
      <c r="C25" s="72"/>
      <c r="D25" s="72"/>
      <c r="E25" s="72"/>
      <c r="F25" s="21">
        <v>150000</v>
      </c>
      <c r="G25" s="22">
        <f t="shared" si="3"/>
        <v>12500</v>
      </c>
      <c r="H25" s="32"/>
      <c r="I25" s="73">
        <f>'[1]ремонт канализации'!B21</f>
        <v>0</v>
      </c>
      <c r="J25" s="73">
        <f>'[1]ремонт канализации'!C21</f>
        <v>16300</v>
      </c>
      <c r="K25" s="73">
        <f>'[1]ремонт канализации'!D21</f>
        <v>16300</v>
      </c>
      <c r="L25" s="73">
        <f>'[1]ремонт канализации'!E21</f>
        <v>19300</v>
      </c>
      <c r="M25" s="73">
        <f>'[1]ремонт канализации'!F21</f>
        <v>16300</v>
      </c>
      <c r="N25" s="73">
        <f>'[1]ремонт канализации'!G21</f>
        <v>16300</v>
      </c>
      <c r="O25" s="73">
        <f>'[1]ремонт канализации'!H21</f>
        <v>18300</v>
      </c>
      <c r="P25" s="73">
        <f>'[1]ремонт канализации'!I21</f>
        <v>32600</v>
      </c>
      <c r="Q25" s="73">
        <f>'[1]ремонт канализации'!J21</f>
        <v>16300</v>
      </c>
      <c r="R25" s="73">
        <f>'[1]ремонт канализации'!K21</f>
        <v>16300</v>
      </c>
      <c r="S25" s="73">
        <f>'[1]ремонт канализации'!L21</f>
        <v>0</v>
      </c>
      <c r="T25" s="73">
        <f>'[1]ремонт канализации'!M21</f>
        <v>0</v>
      </c>
      <c r="U25" s="28">
        <f t="shared" si="4"/>
        <v>168000</v>
      </c>
      <c r="V25" s="29">
        <f t="shared" si="5"/>
        <v>125000</v>
      </c>
      <c r="W25" s="74">
        <f t="shared" si="6"/>
        <v>-43000</v>
      </c>
    </row>
    <row r="26" spans="1:23" ht="15.75">
      <c r="A26" s="71" t="s">
        <v>45</v>
      </c>
      <c r="B26" s="72"/>
      <c r="C26" s="72"/>
      <c r="D26" s="72"/>
      <c r="E26" s="72"/>
      <c r="F26" s="21">
        <v>150000</v>
      </c>
      <c r="G26" s="22">
        <f t="shared" si="3"/>
        <v>12500</v>
      </c>
      <c r="H26" s="32"/>
      <c r="I26" s="73">
        <f>'[1]сод сетей эл.снабж'!B19</f>
        <v>2498.2</v>
      </c>
      <c r="J26" s="73">
        <f>'[1]сод сетей эл.снабж'!C19</f>
        <v>9360</v>
      </c>
      <c r="K26" s="73">
        <f>'[1]сод сетей эл.снабж'!D19</f>
        <v>0</v>
      </c>
      <c r="L26" s="73">
        <f>'[1]сод сетей эл.снабж'!E19</f>
        <v>0</v>
      </c>
      <c r="M26" s="73">
        <f>'[1]сод сетей эл.снабж'!F19</f>
        <v>10656</v>
      </c>
      <c r="N26" s="73">
        <f>'[1]сод сетей эл.снабж'!G19</f>
        <v>5830</v>
      </c>
      <c r="O26" s="73">
        <f>'[1]сод сетей эл.снабж'!H19</f>
        <v>0</v>
      </c>
      <c r="P26" s="73">
        <f>'[1]сод сетей эл.снабж'!I19</f>
        <v>4075</v>
      </c>
      <c r="Q26" s="73">
        <f>'[1]сод сетей эл.снабж'!J19</f>
        <v>0</v>
      </c>
      <c r="R26" s="73">
        <f>'[1]сод сетей эл.снабж'!K19</f>
        <v>24160</v>
      </c>
      <c r="S26" s="73">
        <f>'[1]сод сетей эл.снабж'!L19</f>
        <v>0</v>
      </c>
      <c r="T26" s="73">
        <f>'[1]сод сетей эл.снабж'!M19</f>
        <v>0</v>
      </c>
      <c r="U26" s="28">
        <f t="shared" si="4"/>
        <v>56579.2</v>
      </c>
      <c r="V26" s="29">
        <f t="shared" si="5"/>
        <v>125000</v>
      </c>
      <c r="W26" s="74">
        <f t="shared" si="6"/>
        <v>68420.8</v>
      </c>
    </row>
    <row r="27" spans="1:23" ht="15.75">
      <c r="A27" s="71" t="s">
        <v>46</v>
      </c>
      <c r="B27" s="72"/>
      <c r="C27" s="72"/>
      <c r="D27" s="72"/>
      <c r="E27" s="72"/>
      <c r="F27" s="21">
        <v>2300000</v>
      </c>
      <c r="G27" s="22">
        <f t="shared" si="3"/>
        <v>191666.66666666666</v>
      </c>
      <c r="H27" s="32"/>
      <c r="I27" s="73">
        <f>'[1]эл.эн на общ нужды'!B6</f>
        <v>131952.95</v>
      </c>
      <c r="J27" s="73">
        <f>'[1]эл.эн на общ нужды'!C6</f>
        <v>119523.9</v>
      </c>
      <c r="K27" s="73">
        <f>'[1]эл.эн на общ нужды'!D6</f>
        <v>70762</v>
      </c>
      <c r="L27" s="73">
        <f>'[1]эл.эн на общ нужды'!E6</f>
        <v>114411.91</v>
      </c>
      <c r="M27" s="73">
        <f>'[1]эл.эн на общ нужды'!F6</f>
        <v>133377.34</v>
      </c>
      <c r="N27" s="73">
        <f>'[1]эл.эн на общ нужды'!G6</f>
        <v>144968.58</v>
      </c>
      <c r="O27" s="73">
        <f>'[1]эл.эн на общ нужды'!H6</f>
        <v>177184.52</v>
      </c>
      <c r="P27" s="73">
        <f>'[1]эл.эн на общ нужды'!I6</f>
        <v>179229.68</v>
      </c>
      <c r="Q27" s="73">
        <f>'[1]эл.эн на общ нужды'!J6</f>
        <v>181265.33</v>
      </c>
      <c r="R27" s="73">
        <f>'[1]эл.эн на общ нужды'!K6</f>
        <v>180319.49</v>
      </c>
      <c r="S27" s="73">
        <f>'[1]эл.эн на общ нужды'!L6</f>
        <v>0</v>
      </c>
      <c r="T27" s="73">
        <f>'[1]эл.эн на общ нужды'!M6</f>
        <v>0</v>
      </c>
      <c r="U27" s="28">
        <f t="shared" si="4"/>
        <v>1432995.7</v>
      </c>
      <c r="V27" s="29">
        <f t="shared" si="5"/>
        <v>1916666.6666666665</v>
      </c>
      <c r="W27" s="74">
        <f t="shared" si="6"/>
        <v>483670.96666666656</v>
      </c>
    </row>
    <row r="28" spans="1:23" ht="15.75">
      <c r="A28" s="71" t="s">
        <v>47</v>
      </c>
      <c r="B28" s="72"/>
      <c r="C28" s="72"/>
      <c r="D28" s="72"/>
      <c r="E28" s="72"/>
      <c r="F28" s="21">
        <v>250000</v>
      </c>
      <c r="G28" s="22">
        <f t="shared" si="3"/>
        <v>20833.333333333332</v>
      </c>
      <c r="H28" s="32"/>
      <c r="I28" s="73">
        <f>'[1]содерж дорог'!B35</f>
        <v>35610</v>
      </c>
      <c r="J28" s="73">
        <f>'[1]содерж дорог'!C35</f>
        <v>44383.6</v>
      </c>
      <c r="K28" s="73">
        <f>'[1]содерж дорог'!D35</f>
        <v>1839.6</v>
      </c>
      <c r="L28" s="73">
        <f>'[1]содерж дорог'!E35</f>
        <v>49364.52</v>
      </c>
      <c r="M28" s="73">
        <f>'[1]содерж дорог'!F35</f>
        <v>97762.04000000001</v>
      </c>
      <c r="N28" s="73">
        <f>'[1]содерж дорог'!G35</f>
        <v>11655</v>
      </c>
      <c r="O28" s="73">
        <f>'[1]содерж дорог'!H35</f>
        <v>26519</v>
      </c>
      <c r="P28" s="73">
        <f>'[1]содерж дорог'!I35</f>
        <v>32480.239999999998</v>
      </c>
      <c r="Q28" s="73">
        <f>'[1]содерж дорог'!J35</f>
        <v>9236</v>
      </c>
      <c r="R28" s="73">
        <f>'[1]содерж дорог'!K35</f>
        <v>0</v>
      </c>
      <c r="S28" s="73">
        <f>'[1]содерж дорог'!L35</f>
        <v>0</v>
      </c>
      <c r="T28" s="73">
        <f>'[1]содерж дорог'!M35</f>
        <v>0</v>
      </c>
      <c r="U28" s="28">
        <f t="shared" si="4"/>
        <v>308850</v>
      </c>
      <c r="V28" s="29">
        <f t="shared" si="5"/>
        <v>208333.3333333333</v>
      </c>
      <c r="W28" s="74">
        <f t="shared" si="6"/>
        <v>-100516.66666666669</v>
      </c>
    </row>
    <row r="29" spans="1:23" ht="15.75">
      <c r="A29" s="71" t="s">
        <v>48</v>
      </c>
      <c r="B29" s="72"/>
      <c r="C29" s="72"/>
      <c r="D29" s="72"/>
      <c r="E29" s="72"/>
      <c r="F29" s="21">
        <v>250000</v>
      </c>
      <c r="G29" s="22">
        <f t="shared" si="3"/>
        <v>20833.333333333332</v>
      </c>
      <c r="H29" s="32"/>
      <c r="I29" s="73">
        <f>'[1]благоустройство'!B37</f>
        <v>51273</v>
      </c>
      <c r="J29" s="73">
        <f>'[1]благоустройство'!C37</f>
        <v>4473.62</v>
      </c>
      <c r="K29" s="73">
        <f>'[1]благоустройство'!D37</f>
        <v>1038</v>
      </c>
      <c r="L29" s="73">
        <f>'[1]благоустройство'!E37</f>
        <v>69850.59999999999</v>
      </c>
      <c r="M29" s="73">
        <f>'[1]благоустройство'!F37</f>
        <v>0</v>
      </c>
      <c r="N29" s="73">
        <f>'[1]благоустройство'!G37</f>
        <v>46952.009999999995</v>
      </c>
      <c r="O29" s="73">
        <f>'[1]благоустройство'!H37</f>
        <v>38566</v>
      </c>
      <c r="P29" s="73">
        <f>'[1]благоустройство'!I37</f>
        <v>1961.2</v>
      </c>
      <c r="Q29" s="73">
        <f>'[1]благоустройство'!J37</f>
        <v>0</v>
      </c>
      <c r="R29" s="73">
        <f>'[1]благоустройство'!K37</f>
        <v>0</v>
      </c>
      <c r="S29" s="73">
        <f>'[1]благоустройство'!L37</f>
        <v>0</v>
      </c>
      <c r="T29" s="73">
        <f>'[1]благоустройство'!M37</f>
        <v>0</v>
      </c>
      <c r="U29" s="28">
        <f t="shared" si="4"/>
        <v>214114.43</v>
      </c>
      <c r="V29" s="29">
        <f t="shared" si="5"/>
        <v>208333.3333333333</v>
      </c>
      <c r="W29" s="74">
        <f t="shared" si="6"/>
        <v>-5781.096666666679</v>
      </c>
    </row>
    <row r="30" spans="1:23" ht="15.75">
      <c r="A30" s="71" t="s">
        <v>49</v>
      </c>
      <c r="B30" s="72"/>
      <c r="C30" s="72"/>
      <c r="D30" s="72"/>
      <c r="E30" s="72"/>
      <c r="F30" s="21">
        <v>650000</v>
      </c>
      <c r="G30" s="22" t="s">
        <v>50</v>
      </c>
      <c r="H30" s="32"/>
      <c r="I30" s="73">
        <f>'[1]ямочный ремонт'!B11</f>
        <v>0</v>
      </c>
      <c r="J30" s="73">
        <f>'[1]ямочный ремонт'!C11</f>
        <v>161813.73</v>
      </c>
      <c r="K30" s="73">
        <f>'[1]ямочный ремонт'!D11</f>
        <v>271816.26</v>
      </c>
      <c r="L30" s="73">
        <f>'[1]ямочный ремонт'!E11</f>
        <v>0</v>
      </c>
      <c r="M30" s="73">
        <f>'[1]ямочный ремонт'!F11</f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81">
        <f t="shared" si="4"/>
        <v>433629.99</v>
      </c>
      <c r="V30" s="34">
        <f>F30</f>
        <v>650000</v>
      </c>
      <c r="W30" s="74">
        <f t="shared" si="6"/>
        <v>216370.01</v>
      </c>
    </row>
    <row r="31" spans="1:23" ht="15.75">
      <c r="A31" s="71" t="s">
        <v>51</v>
      </c>
      <c r="B31" s="72"/>
      <c r="C31" s="72"/>
      <c r="D31" s="72"/>
      <c r="E31" s="72"/>
      <c r="F31" s="21">
        <v>800000</v>
      </c>
      <c r="G31" s="22" t="s">
        <v>50</v>
      </c>
      <c r="H31" s="32"/>
      <c r="I31" s="73">
        <f>507210</f>
        <v>507210</v>
      </c>
      <c r="J31" s="73">
        <v>75790</v>
      </c>
      <c r="K31" s="73">
        <v>0</v>
      </c>
      <c r="L31" s="73">
        <v>0</v>
      </c>
      <c r="M31" s="73">
        <v>117000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81">
        <f t="shared" si="4"/>
        <v>700000</v>
      </c>
      <c r="V31" s="34">
        <f>F31</f>
        <v>800000</v>
      </c>
      <c r="W31" s="74">
        <f t="shared" si="6"/>
        <v>100000</v>
      </c>
    </row>
    <row r="32" spans="1:23" ht="15.75">
      <c r="A32" s="82" t="s">
        <v>52</v>
      </c>
      <c r="B32" s="83"/>
      <c r="C32" s="83"/>
      <c r="D32" s="83"/>
      <c r="E32" s="83"/>
      <c r="F32" s="84">
        <v>241600</v>
      </c>
      <c r="G32" s="85" t="s">
        <v>50</v>
      </c>
      <c r="H32" s="86"/>
      <c r="I32" s="87">
        <v>0</v>
      </c>
      <c r="J32" s="87">
        <f>25740+3393+234+5967+77000+10150+700+17850+51260+6757+466+11883</f>
        <v>211400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1">
        <f t="shared" si="4"/>
        <v>211400</v>
      </c>
      <c r="V32" s="34">
        <f>F32</f>
        <v>241600</v>
      </c>
      <c r="W32" s="74">
        <f t="shared" si="6"/>
        <v>30200</v>
      </c>
    </row>
    <row r="33" spans="1:24" ht="16.5" thickBot="1">
      <c r="A33" s="88" t="s">
        <v>53</v>
      </c>
      <c r="B33" s="89"/>
      <c r="C33" s="89"/>
      <c r="D33" s="89"/>
      <c r="E33" s="89"/>
      <c r="F33" s="90">
        <v>1363580</v>
      </c>
      <c r="G33" s="46">
        <f>F33/12</f>
        <v>113631.66666666667</v>
      </c>
      <c r="H33" s="47"/>
      <c r="I33" s="91">
        <f>'[1]резервный фонд'!B31</f>
        <v>22692</v>
      </c>
      <c r="J33" s="91">
        <f>'[1]резервный фонд'!C31</f>
        <v>85301.17</v>
      </c>
      <c r="K33" s="91">
        <f>'[1]резервный фонд'!D31</f>
        <v>0</v>
      </c>
      <c r="L33" s="91">
        <f>'[1]резервный фонд'!E31</f>
        <v>365004.17</v>
      </c>
      <c r="M33" s="91">
        <f>'[1]резервный фонд'!F31</f>
        <v>134978.35</v>
      </c>
      <c r="N33" s="91">
        <f>'[1]резервный фонд'!G31</f>
        <v>74278.01000000001</v>
      </c>
      <c r="O33" s="91">
        <f>'[1]резервный фонд'!H31</f>
        <v>115548.75</v>
      </c>
      <c r="P33" s="91">
        <f>'[1]резервный фонд'!I31</f>
        <v>114966.68</v>
      </c>
      <c r="Q33" s="91">
        <f>'[1]резервный фонд'!J31</f>
        <v>50254.55</v>
      </c>
      <c r="R33" s="91">
        <f>'[1]резервный фонд'!K31</f>
        <v>101833.21</v>
      </c>
      <c r="S33" s="91">
        <f>'[1]резервный фонд'!L31</f>
        <v>0</v>
      </c>
      <c r="T33" s="91">
        <f>'[1]резервный фонд'!M31</f>
        <v>0</v>
      </c>
      <c r="U33" s="50">
        <f t="shared" si="4"/>
        <v>1064856.89</v>
      </c>
      <c r="V33" s="50">
        <f>G33*V2</f>
        <v>1136316.6666666667</v>
      </c>
      <c r="W33" s="92">
        <f t="shared" si="6"/>
        <v>71459.77666666685</v>
      </c>
      <c r="X33" s="93"/>
    </row>
    <row r="34" spans="1:23" ht="15.75">
      <c r="A34" s="94" t="s">
        <v>54</v>
      </c>
      <c r="B34" s="95"/>
      <c r="C34" s="95"/>
      <c r="D34" s="95"/>
      <c r="E34" s="96"/>
      <c r="F34" s="56">
        <f>SUM(F13:F33)</f>
        <v>28635180</v>
      </c>
      <c r="G34" s="57">
        <f>SUM(G13:G33)</f>
        <v>2245298.333333333</v>
      </c>
      <c r="H34" s="76"/>
      <c r="I34" s="97">
        <f aca="true" t="shared" si="7" ref="I34:W34">SUM(I13:I33)</f>
        <v>2164232.1689999998</v>
      </c>
      <c r="J34" s="97">
        <f t="shared" si="7"/>
        <v>2787758.62</v>
      </c>
      <c r="K34" s="97">
        <f t="shared" si="7"/>
        <v>2111818.96</v>
      </c>
      <c r="L34" s="98">
        <f t="shared" si="7"/>
        <v>2483702.11</v>
      </c>
      <c r="M34" s="98">
        <f t="shared" si="7"/>
        <v>2324243.56</v>
      </c>
      <c r="N34" s="98">
        <f t="shared" si="7"/>
        <v>2520952.59</v>
      </c>
      <c r="O34" s="98">
        <f t="shared" si="7"/>
        <v>3294743.6899999995</v>
      </c>
      <c r="P34" s="98">
        <f t="shared" si="7"/>
        <v>1059996.65</v>
      </c>
      <c r="Q34" s="98">
        <f t="shared" si="7"/>
        <v>1952216.055</v>
      </c>
      <c r="R34" s="98">
        <f t="shared" si="7"/>
        <v>2196622.02</v>
      </c>
      <c r="S34" s="98">
        <f t="shared" si="7"/>
        <v>0</v>
      </c>
      <c r="T34" s="98">
        <f t="shared" si="7"/>
        <v>0</v>
      </c>
      <c r="U34" s="60">
        <f t="shared" si="7"/>
        <v>22896286.424</v>
      </c>
      <c r="V34" s="60">
        <f t="shared" si="7"/>
        <v>24144583.333333332</v>
      </c>
      <c r="W34" s="60">
        <f t="shared" si="7"/>
        <v>1248296.9093333338</v>
      </c>
    </row>
    <row r="35" ht="15"/>
    <row r="36" spans="1:23" ht="15.75">
      <c r="A36" s="99" t="s">
        <v>55</v>
      </c>
      <c r="B36" s="100"/>
      <c r="C36" s="100"/>
      <c r="D36" s="100"/>
      <c r="E36" s="101"/>
      <c r="F36" s="102">
        <v>4000000</v>
      </c>
      <c r="G36" s="103" t="s">
        <v>50</v>
      </c>
      <c r="H36" s="101"/>
      <c r="I36" s="104">
        <f>'[1]Ремонт водопров. (закольцовка)'!B17</f>
        <v>1908095</v>
      </c>
      <c r="J36" s="104">
        <f>'[1]Ремонт водопров. (закольцовка)'!C17</f>
        <v>548220</v>
      </c>
      <c r="K36" s="104">
        <f>'[1]Ремонт водопров. (закольцовка)'!D17</f>
        <v>545371.25</v>
      </c>
      <c r="L36" s="104">
        <f>'[1]Ремонт водопров. (закольцовка)'!E17</f>
        <v>100000</v>
      </c>
      <c r="M36" s="104">
        <f>'[1]Ремонт водопров. (закольцовка)'!F17</f>
        <v>751928.17</v>
      </c>
      <c r="N36" s="104">
        <f>'[1]Ремонт водопров. (закольцовка)'!G17</f>
        <v>0</v>
      </c>
      <c r="O36" s="104">
        <f>'[1]Ремонт водопров. (закольцовка)'!H17</f>
        <v>0</v>
      </c>
      <c r="P36" s="104">
        <f>'[1]Ремонт водопров. (закольцовка)'!I17</f>
        <v>0</v>
      </c>
      <c r="Q36" s="104">
        <f>'[1]Ремонт водопров. (закольцовка)'!J17</f>
        <v>0</v>
      </c>
      <c r="R36" s="104">
        <f>'[1]Ремонт водопров. (закольцовка)'!K17</f>
        <v>0</v>
      </c>
      <c r="S36" s="104">
        <v>0</v>
      </c>
      <c r="T36" s="101">
        <v>0</v>
      </c>
      <c r="U36" s="30">
        <f aca="true" t="shared" si="8" ref="U36:U42">SUM(I36:T36)</f>
        <v>3853614.42</v>
      </c>
      <c r="V36" s="105" t="s">
        <v>50</v>
      </c>
      <c r="W36" s="30">
        <f aca="true" t="shared" si="9" ref="W36:W42">F36-U36</f>
        <v>146385.58000000007</v>
      </c>
    </row>
    <row r="37" spans="1:23" ht="15.75">
      <c r="A37" s="99" t="s">
        <v>56</v>
      </c>
      <c r="B37" s="100"/>
      <c r="C37" s="100"/>
      <c r="D37" s="100"/>
      <c r="E37" s="101"/>
      <c r="F37" s="102">
        <v>200000</v>
      </c>
      <c r="G37" s="103" t="s">
        <v>50</v>
      </c>
      <c r="H37" s="101"/>
      <c r="I37" s="104">
        <v>115000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1"/>
      <c r="U37" s="30">
        <f t="shared" si="8"/>
        <v>115000</v>
      </c>
      <c r="V37" s="105" t="s">
        <v>50</v>
      </c>
      <c r="W37" s="30">
        <f t="shared" si="9"/>
        <v>85000</v>
      </c>
    </row>
    <row r="38" spans="1:23" ht="15.75">
      <c r="A38" s="99" t="s">
        <v>57</v>
      </c>
      <c r="B38" s="100"/>
      <c r="C38" s="100"/>
      <c r="D38" s="100"/>
      <c r="E38" s="101"/>
      <c r="F38" s="102">
        <v>200000</v>
      </c>
      <c r="G38" s="103" t="s">
        <v>50</v>
      </c>
      <c r="H38" s="101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1"/>
      <c r="U38" s="30">
        <f t="shared" si="8"/>
        <v>0</v>
      </c>
      <c r="V38" s="105" t="s">
        <v>50</v>
      </c>
      <c r="W38" s="30">
        <f t="shared" si="9"/>
        <v>200000</v>
      </c>
    </row>
    <row r="39" spans="1:23" ht="15.75">
      <c r="A39" s="99" t="s">
        <v>58</v>
      </c>
      <c r="B39" s="100"/>
      <c r="C39" s="100"/>
      <c r="D39" s="100"/>
      <c r="E39" s="101"/>
      <c r="F39" s="102">
        <v>1000000</v>
      </c>
      <c r="G39" s="103" t="s">
        <v>50</v>
      </c>
      <c r="H39" s="101"/>
      <c r="I39" s="104">
        <f>'[1]Лицензирование'!B26</f>
        <v>41240</v>
      </c>
      <c r="J39" s="104">
        <f>'[1]Лицензирование'!C26</f>
        <v>283000</v>
      </c>
      <c r="K39" s="104"/>
      <c r="L39" s="104"/>
      <c r="M39" s="104">
        <f>'[1]Лицензирование'!F26</f>
        <v>109000</v>
      </c>
      <c r="N39" s="104"/>
      <c r="O39" s="104"/>
      <c r="P39" s="104"/>
      <c r="Q39" s="104">
        <f>7500</f>
        <v>7500</v>
      </c>
      <c r="R39" s="104"/>
      <c r="S39" s="104"/>
      <c r="T39" s="101"/>
      <c r="U39" s="30">
        <f t="shared" si="8"/>
        <v>440740</v>
      </c>
      <c r="V39" s="105" t="s">
        <v>50</v>
      </c>
      <c r="W39" s="30">
        <f t="shared" si="9"/>
        <v>559260</v>
      </c>
    </row>
    <row r="40" spans="1:23" ht="15.75">
      <c r="A40" s="99" t="s">
        <v>59</v>
      </c>
      <c r="B40" s="100"/>
      <c r="C40" s="100"/>
      <c r="D40" s="100"/>
      <c r="E40" s="101"/>
      <c r="F40" s="102">
        <v>600000</v>
      </c>
      <c r="G40" s="103" t="s">
        <v>50</v>
      </c>
      <c r="H40" s="101"/>
      <c r="I40" s="104"/>
      <c r="J40" s="104">
        <v>102500</v>
      </c>
      <c r="K40" s="104"/>
      <c r="L40" s="104"/>
      <c r="M40" s="104"/>
      <c r="N40" s="104">
        <v>45000</v>
      </c>
      <c r="O40" s="104"/>
      <c r="P40" s="104"/>
      <c r="Q40" s="104"/>
      <c r="R40" s="104"/>
      <c r="S40" s="104"/>
      <c r="T40" s="101"/>
      <c r="U40" s="30">
        <f t="shared" si="8"/>
        <v>147500</v>
      </c>
      <c r="V40" s="105" t="s">
        <v>50</v>
      </c>
      <c r="W40" s="30">
        <f t="shared" si="9"/>
        <v>452500</v>
      </c>
    </row>
    <row r="41" spans="1:23" ht="15.75">
      <c r="A41" s="99" t="s">
        <v>60</v>
      </c>
      <c r="B41" s="100"/>
      <c r="C41" s="100"/>
      <c r="D41" s="100"/>
      <c r="E41" s="101"/>
      <c r="F41" s="102">
        <v>250000</v>
      </c>
      <c r="G41" s="103" t="s">
        <v>50</v>
      </c>
      <c r="H41" s="101"/>
      <c r="I41" s="104"/>
      <c r="J41" s="104">
        <v>186499.7</v>
      </c>
      <c r="K41" s="104"/>
      <c r="L41" s="104">
        <v>139928.44</v>
      </c>
      <c r="M41" s="104"/>
      <c r="N41" s="104">
        <v>20242.18</v>
      </c>
      <c r="O41" s="104"/>
      <c r="P41" s="104"/>
      <c r="Q41" s="104">
        <v>6000</v>
      </c>
      <c r="R41" s="104"/>
      <c r="S41" s="104"/>
      <c r="T41" s="101"/>
      <c r="U41" s="30">
        <f t="shared" si="8"/>
        <v>352670.32</v>
      </c>
      <c r="V41" s="105" t="s">
        <v>50</v>
      </c>
      <c r="W41" s="30">
        <f t="shared" si="9"/>
        <v>-102670.32</v>
      </c>
    </row>
    <row r="42" spans="1:23" ht="16.5" thickBot="1">
      <c r="A42" s="106" t="s">
        <v>61</v>
      </c>
      <c r="B42" s="107"/>
      <c r="C42" s="107"/>
      <c r="D42" s="107"/>
      <c r="E42" s="108"/>
      <c r="F42" s="109">
        <v>200000</v>
      </c>
      <c r="G42" s="110" t="s">
        <v>50</v>
      </c>
      <c r="H42" s="108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08"/>
      <c r="U42" s="52">
        <f t="shared" si="8"/>
        <v>0</v>
      </c>
      <c r="V42" s="112" t="s">
        <v>50</v>
      </c>
      <c r="W42" s="52">
        <f t="shared" si="9"/>
        <v>200000</v>
      </c>
    </row>
    <row r="43" spans="1:23" ht="15.75">
      <c r="A43" s="113"/>
      <c r="B43" s="114"/>
      <c r="C43" s="114"/>
      <c r="D43" s="114"/>
      <c r="E43" s="115"/>
      <c r="F43" s="116">
        <f>SUM(F36:F42)</f>
        <v>6450000</v>
      </c>
      <c r="G43" s="117"/>
      <c r="H43" s="115"/>
      <c r="I43" s="118">
        <f aca="true" t="shared" si="10" ref="I43:U43">SUM(I36:I42)</f>
        <v>2064335</v>
      </c>
      <c r="J43" s="118">
        <f t="shared" si="10"/>
        <v>1120219.7</v>
      </c>
      <c r="K43" s="118">
        <f t="shared" si="10"/>
        <v>545371.25</v>
      </c>
      <c r="L43" s="118">
        <f t="shared" si="10"/>
        <v>239928.44</v>
      </c>
      <c r="M43" s="118">
        <f t="shared" si="10"/>
        <v>860928.17</v>
      </c>
      <c r="N43" s="118">
        <f t="shared" si="10"/>
        <v>65242.18</v>
      </c>
      <c r="O43" s="118">
        <f t="shared" si="10"/>
        <v>0</v>
      </c>
      <c r="P43" s="118">
        <f t="shared" si="10"/>
        <v>0</v>
      </c>
      <c r="Q43" s="118">
        <f t="shared" si="10"/>
        <v>13500</v>
      </c>
      <c r="R43" s="118">
        <f t="shared" si="10"/>
        <v>0</v>
      </c>
      <c r="S43" s="118">
        <f t="shared" si="10"/>
        <v>0</v>
      </c>
      <c r="T43" s="118">
        <f t="shared" si="10"/>
        <v>0</v>
      </c>
      <c r="U43" s="61">
        <f t="shared" si="10"/>
        <v>4909524.74</v>
      </c>
      <c r="V43" s="119"/>
      <c r="W43" s="61">
        <f>SUM(W36:W42)</f>
        <v>1540475.26</v>
      </c>
    </row>
    <row r="44" spans="1:23" s="123" customFormat="1" ht="15">
      <c r="A44" s="120"/>
      <c r="B44" s="120"/>
      <c r="C44" s="120"/>
      <c r="D44" s="120"/>
      <c r="E44" s="120"/>
      <c r="F44" s="121"/>
      <c r="G44" s="121"/>
      <c r="H44" s="120"/>
      <c r="I44" s="122"/>
      <c r="J44" s="121"/>
      <c r="K44" s="121"/>
      <c r="L44" s="120"/>
      <c r="M44" s="120"/>
      <c r="N44" s="120"/>
      <c r="O44" s="120"/>
      <c r="P44" s="120"/>
      <c r="Q44" s="120"/>
      <c r="R44" s="120"/>
      <c r="S44" s="120"/>
      <c r="T44" s="120"/>
      <c r="U44" s="121"/>
      <c r="V44" s="121"/>
      <c r="W44" s="121"/>
    </row>
    <row r="45" spans="1:23" s="123" customFormat="1" ht="15">
      <c r="A45" s="120"/>
      <c r="B45" s="120"/>
      <c r="C45" s="120"/>
      <c r="D45" s="120"/>
      <c r="E45" s="120"/>
      <c r="F45" s="121"/>
      <c r="G45" s="121"/>
      <c r="H45" s="120"/>
      <c r="I45" s="122"/>
      <c r="J45" s="121"/>
      <c r="K45" s="121"/>
      <c r="L45" s="120"/>
      <c r="M45" s="120"/>
      <c r="N45" s="120"/>
      <c r="O45" s="120"/>
      <c r="P45" s="120"/>
      <c r="Q45" s="120"/>
      <c r="R45" s="120"/>
      <c r="S45" s="120"/>
      <c r="T45" s="120"/>
      <c r="U45" s="122"/>
      <c r="V45" s="121"/>
      <c r="W45" s="121"/>
    </row>
    <row r="46" spans="1:23" s="123" customFormat="1" ht="2.25" customHeight="1" hidden="1">
      <c r="A46" s="120"/>
      <c r="B46" s="120"/>
      <c r="C46" s="120"/>
      <c r="D46" s="120"/>
      <c r="E46" s="120"/>
      <c r="F46" s="121"/>
      <c r="G46" s="121"/>
      <c r="H46" s="124" t="s">
        <v>62</v>
      </c>
      <c r="I46" s="125">
        <f>4500000+1141306.96</f>
        <v>5641306.96</v>
      </c>
      <c r="J46" s="125">
        <f>1605925.25+2000000+1000000</f>
        <v>4605925.25</v>
      </c>
      <c r="K46" s="125">
        <f>3727645.38+1000000</f>
        <v>4727645.38</v>
      </c>
      <c r="L46" s="120">
        <f>3273654.79+1500000</f>
        <v>4773654.79</v>
      </c>
      <c r="M46" s="120">
        <f>2784808.18+1500000</f>
        <v>4284808.18</v>
      </c>
      <c r="N46" s="120">
        <f>1000000+1000000+2074645.3</f>
        <v>4074645.3</v>
      </c>
      <c r="O46" s="120">
        <f>855239.7+3000000</f>
        <v>3855239.7</v>
      </c>
      <c r="P46" s="120">
        <f>3000000+1982682.45</f>
        <v>4982682.45</v>
      </c>
      <c r="Q46" s="120">
        <f>1711716.71+4000000</f>
        <v>5711716.71</v>
      </c>
      <c r="R46" s="120">
        <v>6313077.86</v>
      </c>
      <c r="S46" s="120"/>
      <c r="T46" s="120"/>
      <c r="U46" s="126"/>
      <c r="V46" s="126"/>
      <c r="W46" s="121"/>
    </row>
    <row r="47" spans="1:23" s="123" customFormat="1" ht="2.25" customHeight="1" hidden="1">
      <c r="A47" s="120"/>
      <c r="B47" s="120"/>
      <c r="C47" s="120"/>
      <c r="D47" s="120"/>
      <c r="E47" s="120"/>
      <c r="F47" s="121"/>
      <c r="G47" s="121"/>
      <c r="H47" s="124" t="s">
        <v>63</v>
      </c>
      <c r="I47" s="125">
        <f>$H$5+I11-I34-I43</f>
        <v>5624239.5309999995</v>
      </c>
      <c r="J47" s="125">
        <f>I46+J11-J34-J43-I49</f>
        <v>4606478.38</v>
      </c>
      <c r="K47" s="125">
        <f aca="true" t="shared" si="11" ref="K47:R47">J46+K11-K34-K43</f>
        <v>4805423.89</v>
      </c>
      <c r="L47" s="125">
        <f t="shared" si="11"/>
        <v>4684966.81</v>
      </c>
      <c r="M47" s="125">
        <f t="shared" si="11"/>
        <v>4247542.459999999</v>
      </c>
      <c r="N47" s="125">
        <f t="shared" si="11"/>
        <v>3997437.019999999</v>
      </c>
      <c r="O47" s="125">
        <f t="shared" si="11"/>
        <v>3970832.62</v>
      </c>
      <c r="P47" s="125">
        <f t="shared" si="11"/>
        <v>5019810.07</v>
      </c>
      <c r="Q47" s="125">
        <f t="shared" si="11"/>
        <v>5791771.615</v>
      </c>
      <c r="R47" s="125">
        <f t="shared" si="11"/>
        <v>6407644.359999999</v>
      </c>
      <c r="S47" s="120"/>
      <c r="T47" s="120"/>
      <c r="U47" s="126"/>
      <c r="V47" s="126"/>
      <c r="W47" s="126"/>
    </row>
    <row r="48" spans="1:23" s="123" customFormat="1" ht="2.25" customHeight="1" hidden="1">
      <c r="A48" s="120"/>
      <c r="B48" s="120"/>
      <c r="C48" s="120"/>
      <c r="D48" s="120"/>
      <c r="E48" s="120"/>
      <c r="F48" s="121"/>
      <c r="G48" s="121"/>
      <c r="H48" s="124" t="s">
        <v>64</v>
      </c>
      <c r="I48" s="125">
        <f>I47-I46</f>
        <v>-17067.42900000047</v>
      </c>
      <c r="J48" s="127">
        <f>J47-J46</f>
        <v>553.1299999998882</v>
      </c>
      <c r="K48" s="128">
        <f aca="true" t="shared" si="12" ref="K48:R48">K47-K46-K52</f>
        <v>9471.509999999776</v>
      </c>
      <c r="L48" s="128">
        <f t="shared" si="12"/>
        <v>-109587.98000000045</v>
      </c>
      <c r="M48" s="128">
        <f t="shared" si="12"/>
        <v>-60165.72000000067</v>
      </c>
      <c r="N48" s="128">
        <f t="shared" si="12"/>
        <v>-90008.28000000073</v>
      </c>
      <c r="O48" s="128">
        <f t="shared" si="12"/>
        <v>86092.91999999993</v>
      </c>
      <c r="P48" s="128">
        <f t="shared" si="12"/>
        <v>-12972.379999999888</v>
      </c>
      <c r="Q48" s="128">
        <f t="shared" si="12"/>
        <v>33754.90500000026</v>
      </c>
      <c r="R48" s="128">
        <f t="shared" si="12"/>
        <v>93966.49999999907</v>
      </c>
      <c r="S48" s="120"/>
      <c r="T48" s="120"/>
      <c r="U48" s="121"/>
      <c r="V48" s="126"/>
      <c r="W48" s="126"/>
    </row>
    <row r="49" spans="1:23" s="123" customFormat="1" ht="2.25" customHeight="1" hidden="1">
      <c r="A49" s="120"/>
      <c r="B49" s="120"/>
      <c r="C49" s="120"/>
      <c r="D49" s="120"/>
      <c r="E49" s="120"/>
      <c r="F49" s="121"/>
      <c r="G49" s="121"/>
      <c r="H49" s="129" t="s">
        <v>65</v>
      </c>
      <c r="I49" s="125">
        <v>17030.2</v>
      </c>
      <c r="J49" s="126"/>
      <c r="K49" s="126"/>
      <c r="L49" s="120"/>
      <c r="M49" s="120"/>
      <c r="N49" s="120"/>
      <c r="O49" s="120"/>
      <c r="P49" s="120"/>
      <c r="Q49" s="120"/>
      <c r="R49" s="120"/>
      <c r="S49" s="120"/>
      <c r="T49" s="120"/>
      <c r="U49" s="121"/>
      <c r="V49" s="126"/>
      <c r="W49" s="126"/>
    </row>
    <row r="50" spans="1:23" s="123" customFormat="1" ht="2.25" customHeight="1" hidden="1">
      <c r="A50" s="120"/>
      <c r="B50" s="120"/>
      <c r="C50" s="120"/>
      <c r="D50" s="120"/>
      <c r="E50" s="120"/>
      <c r="F50" s="121"/>
      <c r="G50" s="121"/>
      <c r="H50" s="129"/>
      <c r="I50" s="125">
        <f>I48+I49</f>
        <v>-37.22900000046866</v>
      </c>
      <c r="J50" s="121"/>
      <c r="K50" s="121"/>
      <c r="L50" s="120"/>
      <c r="M50" s="120"/>
      <c r="N50" s="120"/>
      <c r="O50" s="120"/>
      <c r="P50" s="120"/>
      <c r="Q50" s="120"/>
      <c r="R50" s="120"/>
      <c r="S50" s="120"/>
      <c r="T50" s="120"/>
      <c r="U50" s="121"/>
      <c r="V50" s="126"/>
      <c r="W50" s="126"/>
    </row>
    <row r="51" spans="1:23" s="123" customFormat="1" ht="2.25" customHeight="1" hidden="1">
      <c r="A51" s="120"/>
      <c r="F51" s="126"/>
      <c r="G51" s="126"/>
      <c r="I51" s="121"/>
      <c r="J51" s="121"/>
      <c r="K51" s="126"/>
      <c r="U51" s="126"/>
      <c r="V51" s="126"/>
      <c r="W51" s="126"/>
    </row>
    <row r="52" spans="6:23" s="123" customFormat="1" ht="2.25" customHeight="1" hidden="1">
      <c r="F52" s="126"/>
      <c r="G52" s="126"/>
      <c r="H52" s="123" t="s">
        <v>66</v>
      </c>
      <c r="I52" s="121">
        <v>48500</v>
      </c>
      <c r="J52" s="126">
        <v>11710</v>
      </c>
      <c r="K52" s="121">
        <v>68307</v>
      </c>
      <c r="L52" s="123">
        <v>20900</v>
      </c>
      <c r="M52" s="123">
        <v>22900</v>
      </c>
      <c r="N52" s="123">
        <v>12800</v>
      </c>
      <c r="O52" s="123">
        <v>29500</v>
      </c>
      <c r="P52" s="123">
        <v>50100</v>
      </c>
      <c r="Q52" s="123">
        <v>46300</v>
      </c>
      <c r="R52" s="123">
        <v>600</v>
      </c>
      <c r="U52" s="126"/>
      <c r="V52" s="126"/>
      <c r="W52" s="126"/>
    </row>
    <row r="53" spans="6:23" s="123" customFormat="1" ht="15">
      <c r="F53" s="126"/>
      <c r="G53" s="126"/>
      <c r="I53" s="121"/>
      <c r="J53" s="121"/>
      <c r="K53" s="126"/>
      <c r="U53" s="126"/>
      <c r="V53" s="126"/>
      <c r="W53" s="126"/>
    </row>
    <row r="54" spans="6:23" s="123" customFormat="1" ht="15">
      <c r="F54" s="126"/>
      <c r="G54" s="126"/>
      <c r="I54" s="121"/>
      <c r="J54" s="121"/>
      <c r="K54" s="126"/>
      <c r="U54" s="126"/>
      <c r="V54" s="126"/>
      <c r="W54" s="126"/>
    </row>
    <row r="55" spans="6:23" s="123" customFormat="1" ht="15">
      <c r="F55" s="126"/>
      <c r="G55" s="126"/>
      <c r="I55" s="121"/>
      <c r="J55" s="121"/>
      <c r="K55" s="126"/>
      <c r="U55" s="126" t="s">
        <v>67</v>
      </c>
      <c r="V55" s="126"/>
      <c r="W55" s="126"/>
    </row>
    <row r="56" spans="6:23" s="123" customFormat="1" ht="15">
      <c r="F56" s="126"/>
      <c r="G56" s="126"/>
      <c r="I56" s="121"/>
      <c r="J56" s="126"/>
      <c r="K56" s="126"/>
      <c r="U56" s="126"/>
      <c r="V56" s="126"/>
      <c r="W56" s="126"/>
    </row>
    <row r="57" spans="6:23" s="123" customFormat="1" ht="15">
      <c r="F57" s="126"/>
      <c r="G57" s="126"/>
      <c r="I57" s="126"/>
      <c r="J57" s="126"/>
      <c r="K57" s="126"/>
      <c r="U57" s="126"/>
      <c r="V57" s="126"/>
      <c r="W57" s="126"/>
    </row>
    <row r="58" spans="6:23" s="123" customFormat="1" ht="15">
      <c r="F58" s="126"/>
      <c r="G58" s="126"/>
      <c r="I58" s="126"/>
      <c r="J58" s="126"/>
      <c r="K58" s="126"/>
      <c r="U58" s="126"/>
      <c r="V58" s="126"/>
      <c r="W58" s="126"/>
    </row>
    <row r="59" spans="6:23" s="123" customFormat="1" ht="15">
      <c r="F59" s="126"/>
      <c r="G59" s="126"/>
      <c r="I59" s="126"/>
      <c r="J59" s="126"/>
      <c r="K59" s="126"/>
      <c r="U59" s="126"/>
      <c r="V59" s="126"/>
      <c r="W59" s="126"/>
    </row>
    <row r="60" spans="6:23" s="123" customFormat="1" ht="15">
      <c r="F60" s="126"/>
      <c r="G60" s="126"/>
      <c r="I60" s="126"/>
      <c r="J60" s="126"/>
      <c r="K60" s="126"/>
      <c r="U60" s="126"/>
      <c r="V60" s="126"/>
      <c r="W60" s="126"/>
    </row>
    <row r="61" spans="6:23" s="123" customFormat="1" ht="15">
      <c r="F61" s="126"/>
      <c r="G61" s="126"/>
      <c r="I61" s="126"/>
      <c r="J61" s="126"/>
      <c r="K61" s="126"/>
      <c r="U61" s="126"/>
      <c r="V61" s="126"/>
      <c r="W61" s="126"/>
    </row>
    <row r="62" spans="6:23" s="123" customFormat="1" ht="15">
      <c r="F62" s="126"/>
      <c r="G62" s="126"/>
      <c r="I62" s="126"/>
      <c r="J62" s="126"/>
      <c r="K62" s="126"/>
      <c r="U62" s="126"/>
      <c r="V62" s="126"/>
      <c r="W62" s="126"/>
    </row>
  </sheetData>
  <sheetProtection/>
  <mergeCells count="30">
    <mergeCell ref="A43:D43"/>
    <mergeCell ref="A2:P2"/>
    <mergeCell ref="A36:D36"/>
    <mergeCell ref="A11:E11"/>
    <mergeCell ref="A34:E34"/>
    <mergeCell ref="A42:D42"/>
    <mergeCell ref="A37:D37"/>
    <mergeCell ref="A38:D38"/>
    <mergeCell ref="A39:D39"/>
    <mergeCell ref="A40:D40"/>
    <mergeCell ref="A41:D41"/>
    <mergeCell ref="L3:L4"/>
    <mergeCell ref="A12:E12"/>
    <mergeCell ref="A3:E3"/>
    <mergeCell ref="I3:I4"/>
    <mergeCell ref="J3:J4"/>
    <mergeCell ref="K3:K4"/>
    <mergeCell ref="W3:W4"/>
    <mergeCell ref="U3:U4"/>
    <mergeCell ref="F3:F4"/>
    <mergeCell ref="G3:G4"/>
    <mergeCell ref="M3:M4"/>
    <mergeCell ref="N3:N4"/>
    <mergeCell ref="O3:O4"/>
    <mergeCell ref="P3:P4"/>
    <mergeCell ref="Q3:Q4"/>
    <mergeCell ref="R3:R4"/>
    <mergeCell ref="S3:S4"/>
    <mergeCell ref="T3:T4"/>
    <mergeCell ref="V3:V4"/>
  </mergeCells>
  <printOptions/>
  <pageMargins left="0.25" right="0.25" top="0.75" bottom="0.75" header="0.3" footer="0.3"/>
  <pageSetup fitToHeight="1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2020-04-03T08:53:14Z</dcterms:created>
  <dcterms:modified xsi:type="dcterms:W3CDTF">2020-04-03T08:54:20Z</dcterms:modified>
  <cp:category/>
  <cp:version/>
  <cp:contentType/>
  <cp:contentStatus/>
</cp:coreProperties>
</file>