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465" windowWidth="25170" windowHeight="6525" tabRatio="500" activeTab="2"/>
  </bookViews>
  <sheets>
    <sheet name="ФИНПЛАН 20-21 " sheetId="1" r:id="rId1"/>
    <sheet name="Расчет взносов" sheetId="2" r:id="rId2"/>
    <sheet name="Размер взносов по участкам" sheetId="4" r:id="rId3"/>
  </sheets>
  <calcPr calcId="114210"/>
</workbook>
</file>

<file path=xl/calcChain.xml><?xml version="1.0" encoding="utf-8"?>
<calcChain xmlns="http://schemas.openxmlformats.org/spreadsheetml/2006/main">
  <c r="B19" i="2"/>
  <c r="C19"/>
  <c r="B22"/>
  <c r="C22"/>
  <c r="B36"/>
  <c r="C36"/>
  <c r="B37"/>
  <c r="C37"/>
  <c r="C38"/>
  <c r="B11"/>
  <c r="B12"/>
  <c r="B13"/>
  <c r="B14"/>
  <c r="B15"/>
  <c r="B16"/>
  <c r="B17"/>
  <c r="B18"/>
  <c r="B21"/>
  <c r="B23"/>
  <c r="B24"/>
  <c r="B25"/>
  <c r="B26"/>
  <c r="B27"/>
  <c r="B28"/>
  <c r="B29"/>
  <c r="B30"/>
  <c r="B31"/>
  <c r="B33"/>
  <c r="B34"/>
  <c r="B35"/>
  <c r="B38"/>
  <c r="B39"/>
  <c r="B40"/>
  <c r="B41"/>
  <c r="C41"/>
  <c r="C43"/>
  <c r="E21"/>
  <c r="E31"/>
  <c r="E33"/>
  <c r="E34"/>
  <c r="E38"/>
  <c r="E41"/>
  <c r="E47"/>
  <c r="E50"/>
  <c r="B68" i="4"/>
  <c r="D68"/>
  <c r="B69"/>
  <c r="D69"/>
  <c r="B70"/>
  <c r="D70"/>
  <c r="B71"/>
  <c r="D71"/>
  <c r="B72"/>
  <c r="D72"/>
  <c r="D11" i="2"/>
  <c r="D12"/>
  <c r="D13"/>
  <c r="D14"/>
  <c r="D15"/>
  <c r="D16"/>
  <c r="D17"/>
  <c r="D23"/>
  <c r="D24"/>
  <c r="D25"/>
  <c r="D26"/>
  <c r="D27"/>
  <c r="D28"/>
  <c r="D29"/>
  <c r="D30"/>
  <c r="D35"/>
  <c r="D38"/>
  <c r="D41"/>
  <c r="D45"/>
  <c r="F18"/>
  <c r="F38"/>
  <c r="F41"/>
  <c r="F49"/>
  <c r="F52"/>
  <c r="B5" i="4"/>
  <c r="D5"/>
  <c r="B6"/>
  <c r="D6"/>
  <c r="B7"/>
  <c r="D7"/>
  <c r="B8"/>
  <c r="D8"/>
  <c r="B9"/>
  <c r="D9"/>
  <c r="B10"/>
  <c r="D10"/>
  <c r="B11"/>
  <c r="D11"/>
  <c r="B12"/>
  <c r="D12"/>
  <c r="B13"/>
  <c r="D13"/>
  <c r="B14"/>
  <c r="D14"/>
  <c r="B15"/>
  <c r="D15"/>
  <c r="B16"/>
  <c r="D16"/>
  <c r="B17"/>
  <c r="D17"/>
  <c r="B18"/>
  <c r="D18"/>
  <c r="B19"/>
  <c r="D19"/>
  <c r="B20"/>
  <c r="D20"/>
  <c r="B21"/>
  <c r="D21"/>
  <c r="B22"/>
  <c r="D22"/>
  <c r="B23"/>
  <c r="D23"/>
  <c r="B24"/>
  <c r="D24"/>
  <c r="B25"/>
  <c r="D25"/>
  <c r="B26"/>
  <c r="D26"/>
  <c r="B27"/>
  <c r="D27"/>
  <c r="B28"/>
  <c r="D28"/>
  <c r="B29"/>
  <c r="D29"/>
  <c r="B30"/>
  <c r="D30"/>
  <c r="B31"/>
  <c r="D31"/>
  <c r="B32"/>
  <c r="D32"/>
  <c r="B33"/>
  <c r="D33"/>
  <c r="B34"/>
  <c r="D34"/>
  <c r="B35"/>
  <c r="D35"/>
  <c r="B36"/>
  <c r="D36"/>
  <c r="B37"/>
  <c r="D37"/>
  <c r="B38"/>
  <c r="D38"/>
  <c r="B39"/>
  <c r="D39"/>
  <c r="B40"/>
  <c r="D40"/>
  <c r="B41"/>
  <c r="D41"/>
  <c r="B42"/>
  <c r="D42"/>
  <c r="B43"/>
  <c r="D43"/>
  <c r="B44"/>
  <c r="D44"/>
  <c r="B45"/>
  <c r="D45"/>
  <c r="B46"/>
  <c r="D46"/>
  <c r="B47"/>
  <c r="D47"/>
  <c r="B48"/>
  <c r="D48"/>
  <c r="B49"/>
  <c r="D49"/>
  <c r="B50"/>
  <c r="D50"/>
  <c r="B51"/>
  <c r="D51"/>
  <c r="B52"/>
  <c r="D52"/>
  <c r="B53"/>
  <c r="D53"/>
  <c r="B54"/>
  <c r="D54"/>
  <c r="B55"/>
  <c r="D55"/>
  <c r="B56"/>
  <c r="D56"/>
  <c r="B57"/>
  <c r="D57"/>
  <c r="B58"/>
  <c r="D58"/>
  <c r="B59"/>
  <c r="D59"/>
  <c r="B60"/>
  <c r="D60"/>
  <c r="B61"/>
  <c r="D61"/>
  <c r="B62"/>
  <c r="D62"/>
  <c r="B63"/>
  <c r="D63"/>
  <c r="B64"/>
  <c r="D64"/>
  <c r="D51" i="2"/>
  <c r="B65" i="4"/>
  <c r="D65"/>
  <c r="B4"/>
  <c r="D4"/>
  <c r="H37" i="1"/>
  <c r="H36"/>
  <c r="C20" i="2"/>
  <c r="C42"/>
  <c r="F48"/>
  <c r="D32"/>
  <c r="D44"/>
  <c r="E32"/>
  <c r="E46"/>
  <c r="H39" i="1"/>
  <c r="H46"/>
  <c r="H5"/>
  <c r="H8"/>
  <c r="E5"/>
  <c r="E6"/>
  <c r="E7"/>
  <c r="B8"/>
  <c r="C8"/>
  <c r="D8"/>
  <c r="E8"/>
  <c r="F8"/>
  <c r="G8"/>
  <c r="H9"/>
  <c r="E11"/>
  <c r="E12"/>
  <c r="E13"/>
  <c r="E14"/>
  <c r="E15"/>
  <c r="E16"/>
  <c r="E17"/>
  <c r="E18"/>
  <c r="E19"/>
  <c r="E20"/>
  <c r="E22"/>
  <c r="E23"/>
  <c r="E25"/>
  <c r="E26"/>
  <c r="E27"/>
  <c r="E28"/>
  <c r="E29"/>
  <c r="E30"/>
  <c r="E31"/>
  <c r="E32"/>
  <c r="E33"/>
  <c r="E34"/>
  <c r="E36"/>
  <c r="B37"/>
  <c r="C37"/>
  <c r="D37"/>
  <c r="E37"/>
  <c r="F37"/>
  <c r="G37"/>
  <c r="B46"/>
  <c r="C46"/>
  <c r="D46"/>
  <c r="E46"/>
  <c r="F46"/>
  <c r="G46"/>
  <c r="B48"/>
  <c r="E48"/>
  <c r="F48"/>
</calcChain>
</file>

<file path=xl/sharedStrings.xml><?xml version="1.0" encoding="utf-8"?>
<sst xmlns="http://schemas.openxmlformats.org/spreadsheetml/2006/main" count="126" uniqueCount="103">
  <si>
    <t xml:space="preserve">ПЛАН </t>
  </si>
  <si>
    <t>ФАКТ</t>
  </si>
  <si>
    <t>ПРОГНОЗ</t>
  </si>
  <si>
    <t>ИТОГО</t>
  </si>
  <si>
    <t>Статьи поступления денежных средств</t>
  </si>
  <si>
    <t>2017/2018</t>
  </si>
  <si>
    <t>11 мес.2017/18</t>
  </si>
  <si>
    <t>12 мес.</t>
  </si>
  <si>
    <t>Поступление денеж. средств от сбора ЧВ</t>
  </si>
  <si>
    <t>Поступл. оплаты за въезд, пропуска,% по депозитам</t>
  </si>
  <si>
    <t>ИТОГО ПОСТУПЛЕНИЙ:</t>
  </si>
  <si>
    <t>Общехозяйственные расходы</t>
  </si>
  <si>
    <t>Программное обеспечение</t>
  </si>
  <si>
    <t>Услуги связи</t>
  </si>
  <si>
    <t>Заработная плата (14 чел.)</t>
  </si>
  <si>
    <t>Премиальный фонд</t>
  </si>
  <si>
    <t>Налог с ФОТ</t>
  </si>
  <si>
    <t>Приобретение инструмента, инвентаря</t>
  </si>
  <si>
    <t>Вывоз мусора</t>
  </si>
  <si>
    <t>Содержание охраны</t>
  </si>
  <si>
    <t>Содержание газового оборудования</t>
  </si>
  <si>
    <t>Содержание сетей водоснабжения</t>
  </si>
  <si>
    <t>Содержание сетей канализации</t>
  </si>
  <si>
    <t xml:space="preserve">Ремонт сетей канализации и О/С </t>
  </si>
  <si>
    <t>Электроснабжение, в т.ч.:</t>
  </si>
  <si>
    <t>Содержание сетей электроснабж.</t>
  </si>
  <si>
    <t>Э/энергия на общие нужды</t>
  </si>
  <si>
    <t>Содержание дорог и уборка территории</t>
  </si>
  <si>
    <t>Ямочный ремонт дорог</t>
  </si>
  <si>
    <t>Благоустройство территории</t>
  </si>
  <si>
    <t>Фонд для поощрения председателя правления (ПП)</t>
  </si>
  <si>
    <t>Социальные налоги с суммы поощрения ПП</t>
  </si>
  <si>
    <t>Резервный фонд 5%</t>
  </si>
  <si>
    <t>ВСЕГО РАСХОДОВ:</t>
  </si>
  <si>
    <t>Сумма дефицита (профицита) бюджета, погашаемая за счет накопленных на конец предшествующего фин.года  резервов</t>
  </si>
  <si>
    <t>Лицензирование скважины</t>
  </si>
  <si>
    <t xml:space="preserve">Ремонт водопровода </t>
  </si>
  <si>
    <t>План</t>
  </si>
  <si>
    <t xml:space="preserve">Предложение </t>
  </si>
  <si>
    <t>Автоматический въезд</t>
  </si>
  <si>
    <t xml:space="preserve">ФИНАНСОВО-ЭКОНОМИЧЕСКОЕ ОБОСНОВАНИЕ РАЗМЕРА </t>
  </si>
  <si>
    <t>Канализация</t>
  </si>
  <si>
    <t>Электроснабжение</t>
  </si>
  <si>
    <t>ВСЕГО РАСХОДЫ</t>
  </si>
  <si>
    <t>Расходы только на жителей и Кронова</t>
  </si>
  <si>
    <t>Расходы только на жителей</t>
  </si>
  <si>
    <t>Переходящий остаток с прошлого года</t>
  </si>
  <si>
    <t>Кол-во соток членов  РСК</t>
  </si>
  <si>
    <t>Кол-во соток Кронова</t>
  </si>
  <si>
    <t>Предполагаемые доходы</t>
  </si>
  <si>
    <t>Общее количество площадей участков , соток</t>
  </si>
  <si>
    <t>Исключаемые площади (должники, взыскание задолженности с которых не определено по времени)</t>
  </si>
  <si>
    <t>Статьи расходов</t>
  </si>
  <si>
    <t>План расходов</t>
  </si>
  <si>
    <t>Необходимая сумма взносов</t>
  </si>
  <si>
    <t>Размер участка</t>
  </si>
  <si>
    <t>Размер взноса</t>
  </si>
  <si>
    <t>ИТОГО С ВХОДЯЩИМ ОСТАТКОМ</t>
  </si>
  <si>
    <t xml:space="preserve">Поступление оплаты по коммерч. дог. </t>
  </si>
  <si>
    <t>Лицензирование скважин</t>
  </si>
  <si>
    <t>Фонд для поощрения председателя правления (ПП) и ревизора</t>
  </si>
  <si>
    <t xml:space="preserve">Социальные налоги с суммы поощрения </t>
  </si>
  <si>
    <t>ДП "Подмосковье" (РСК) *</t>
  </si>
  <si>
    <t>* Для жителей РСК Подмосковье указанный размер взносов</t>
  </si>
  <si>
    <t>ПРОЕКТ</t>
  </si>
  <si>
    <t>2020/2021</t>
  </si>
  <si>
    <t xml:space="preserve">Заработная плата </t>
  </si>
  <si>
    <t>РАСХОДЫ НА СОДЕРЖАНИЕ ТСН</t>
  </si>
  <si>
    <t>ИТОГО РАСХОДЫ НА СОДЕРЖАНИЕ ТСН:</t>
  </si>
  <si>
    <t>РАСХОДЫ НА РАЗВИТИЕ ТСН, в том числе:</t>
  </si>
  <si>
    <t>Остаток на начало периода</t>
  </si>
  <si>
    <t>Размер взноса, приходящегося на Кронова, за сотку в месяц</t>
  </si>
  <si>
    <t>Размер взноса, приходящегося на жителя, за сотку в месяц</t>
  </si>
  <si>
    <t xml:space="preserve">  </t>
  </si>
  <si>
    <t>Новая скважина</t>
  </si>
  <si>
    <t>Модуль обеззараживания</t>
  </si>
  <si>
    <t xml:space="preserve">   </t>
  </si>
  <si>
    <t>Размер взноса, приходящегося на члена РСК, за сотку в месяц*</t>
  </si>
  <si>
    <t xml:space="preserve">Размер взносов на 2021/2022 финансовый год </t>
  </si>
  <si>
    <t>ЧЛЕНСКИХ ВЗНОСОВ на 2021/2022 финансовый год</t>
  </si>
  <si>
    <t>ПРИХОДНО-РАСХОДНАЯ СМЕТА на 2021/2022 год.</t>
  </si>
  <si>
    <t>2021/2022</t>
  </si>
  <si>
    <t xml:space="preserve">Количество соток, участвующих в расчете для жителей и Кронова  (без РСК) </t>
  </si>
  <si>
    <t>Расходы только на жителей и РСК</t>
  </si>
  <si>
    <t>Сумма расходов, приходящаяся на всех жителей, включая РСК и Кронова за сотку в месяц</t>
  </si>
  <si>
    <t>Количество соток, участвующих в расчете расходов для жителей и РСК без Кронова</t>
  </si>
  <si>
    <t>Сумма расходов, приходящаяся только на жителей и РСК без Кронова</t>
  </si>
  <si>
    <t>Количество соток, участвующих в расчете расходов для жителей без РСК и Кронова</t>
  </si>
  <si>
    <t>расчитан при условии подключения к газопроводу, водопроводу и канализации.</t>
  </si>
  <si>
    <t>Если жители подключены не ко всем коммуникациям, размер</t>
  </si>
  <si>
    <t>взноса будет соответственно меньше.</t>
  </si>
  <si>
    <t>* Для жителей, подключенных к газопроводу, водопроводу и канализации. При поключении не ко всем магистралям размер взноса соответственно уменьшается.</t>
  </si>
  <si>
    <t xml:space="preserve"> </t>
  </si>
  <si>
    <t>Количество соток, участвующих в расчете для всех, включая РСК и Кронова</t>
  </si>
  <si>
    <t>Сумма расходов, приходящаяся на жителей и Кронова (без РСК) за сотку в месяц</t>
  </si>
  <si>
    <t>Сумма расходов, приходящихся только на жителей</t>
  </si>
  <si>
    <t xml:space="preserve">Расходы на всех, включая РСК, Кронова  и жителей </t>
  </si>
  <si>
    <t>Оформление земли</t>
  </si>
  <si>
    <t>Выполнение (прогноз)</t>
  </si>
  <si>
    <t>Платеж Роскомприроде</t>
  </si>
  <si>
    <t>Аудиторская проверка</t>
  </si>
  <si>
    <t>Дополнение за сотку в месяц</t>
  </si>
  <si>
    <t>Сумма взноса с дополнением</t>
  </si>
</sst>
</file>

<file path=xl/styles.xml><?xml version="1.0" encoding="utf-8"?>
<styleSheet xmlns="http://schemas.openxmlformats.org/spreadsheetml/2006/main">
  <numFmts count="1">
    <numFmt numFmtId="164" formatCode="mmmm\ yyyy;@"/>
  </numFmts>
  <fonts count="24"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3"/>
      <color indexed="63"/>
      <name val="Arial"/>
      <family val="2"/>
      <charset val="204"/>
    </font>
    <font>
      <sz val="12"/>
      <color indexed="63"/>
      <name val="Arial"/>
      <family val="2"/>
      <charset val="204"/>
    </font>
    <font>
      <b/>
      <sz val="11"/>
      <color indexed="63"/>
      <name val="Calibri"/>
      <family val="2"/>
      <charset val="204"/>
    </font>
    <font>
      <sz val="14"/>
      <color indexed="63"/>
      <name val="Arial"/>
      <family val="2"/>
      <charset val="204"/>
    </font>
    <font>
      <i/>
      <sz val="14"/>
      <color indexed="63"/>
      <name val="Arial"/>
      <family val="2"/>
      <charset val="204"/>
    </font>
    <font>
      <sz val="8"/>
      <name val="Calibri"/>
      <family val="2"/>
      <charset val="204"/>
    </font>
    <font>
      <b/>
      <sz val="13"/>
      <color indexed="63"/>
      <name val="Calibri"/>
      <family val="2"/>
      <charset val="204"/>
    </font>
    <font>
      <sz val="13"/>
      <color indexed="63"/>
      <name val="Calibri"/>
      <family val="2"/>
      <charset val="204"/>
    </font>
    <font>
      <b/>
      <sz val="10"/>
      <color indexed="63"/>
      <name val="Arial"/>
      <family val="2"/>
      <charset val="204"/>
    </font>
    <font>
      <i/>
      <sz val="10"/>
      <color indexed="63"/>
      <name val="Arial"/>
      <family val="2"/>
      <charset val="204"/>
    </font>
    <font>
      <sz val="11"/>
      <color indexed="63"/>
      <name val="Calibri"/>
      <family val="2"/>
      <charset val="204"/>
    </font>
    <font>
      <sz val="13"/>
      <name val="Arial"/>
      <family val="2"/>
      <charset val="204"/>
    </font>
    <font>
      <sz val="11"/>
      <color indexed="63"/>
      <name val="Calibri"/>
      <family val="2"/>
      <charset val="204"/>
    </font>
    <font>
      <i/>
      <sz val="14"/>
      <color indexed="55"/>
      <name val="Arial"/>
      <family val="2"/>
      <charset val="204"/>
    </font>
    <font>
      <sz val="12"/>
      <name val="Arial"/>
      <family val="2"/>
      <charset val="204"/>
    </font>
    <font>
      <sz val="12"/>
      <color indexed="63"/>
      <name val="Arial Narrow"/>
      <family val="2"/>
      <charset val="204"/>
    </font>
    <font>
      <i/>
      <sz val="14"/>
      <color indexed="46"/>
      <name val="Arial"/>
      <family val="2"/>
      <charset val="204"/>
    </font>
    <font>
      <sz val="11"/>
      <color indexed="63"/>
      <name val="Arial"/>
      <family val="2"/>
      <charset val="204"/>
    </font>
    <font>
      <sz val="11"/>
      <color indexed="63"/>
      <name val="Calibri"/>
      <family val="2"/>
      <charset val="204"/>
    </font>
    <font>
      <b/>
      <sz val="11"/>
      <color indexed="63"/>
      <name val="Arial"/>
      <family val="2"/>
      <charset val="204"/>
    </font>
    <font>
      <b/>
      <sz val="12"/>
      <color indexed="63"/>
      <name val="Arial"/>
      <family val="2"/>
      <charset val="204"/>
    </font>
    <font>
      <b/>
      <sz val="14"/>
      <color indexed="63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18"/>
        <bgColor indexed="35"/>
      </patternFill>
    </fill>
    <fill>
      <patternFill patternType="solid">
        <fgColor indexed="35"/>
        <bgColor indexed="34"/>
      </patternFill>
    </fill>
    <fill>
      <patternFill patternType="solid">
        <fgColor indexed="39"/>
        <bgColor indexed="18"/>
      </patternFill>
    </fill>
    <fill>
      <patternFill patternType="solid">
        <fgColor indexed="14"/>
        <bgColor indexed="39"/>
      </patternFill>
    </fill>
    <fill>
      <patternFill patternType="solid">
        <fgColor indexed="33"/>
        <bgColor indexed="36"/>
      </patternFill>
    </fill>
    <fill>
      <patternFill patternType="solid">
        <fgColor indexed="43"/>
        <bgColor indexed="44"/>
      </patternFill>
    </fill>
    <fill>
      <patternFill patternType="solid">
        <fgColor indexed="19"/>
        <bgColor indexed="34"/>
      </patternFill>
    </fill>
    <fill>
      <patternFill patternType="solid">
        <fgColor indexed="23"/>
        <bgColor indexed="36"/>
      </patternFill>
    </fill>
    <fill>
      <patternFill patternType="solid">
        <fgColor indexed="36"/>
        <bgColor indexed="33"/>
      </patternFill>
    </fill>
    <fill>
      <patternFill patternType="solid">
        <fgColor indexed="1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3" fontId="3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2" fillId="0" borderId="2" xfId="0" applyFont="1" applyBorder="1" applyAlignment="1">
      <alignment wrapText="1"/>
    </xf>
    <xf numFmtId="0" fontId="6" fillId="2" borderId="0" xfId="0" applyFont="1" applyFill="1" applyBorder="1" applyAlignment="1">
      <alignment vertical="center" wrapText="1"/>
    </xf>
    <xf numFmtId="0" fontId="9" fillId="0" borderId="0" xfId="0" applyFont="1"/>
    <xf numFmtId="0" fontId="9" fillId="0" borderId="0" xfId="0" applyFont="1" applyAlignment="1">
      <alignment wrapText="1"/>
    </xf>
    <xf numFmtId="3" fontId="9" fillId="0" borderId="0" xfId="0" applyNumberFormat="1" applyFont="1"/>
    <xf numFmtId="0" fontId="9" fillId="0" borderId="1" xfId="0" applyFont="1" applyBorder="1" applyAlignment="1">
      <alignment wrapText="1"/>
    </xf>
    <xf numFmtId="0" fontId="9" fillId="0" borderId="1" xfId="0" applyFont="1" applyBorder="1"/>
    <xf numFmtId="3" fontId="9" fillId="0" borderId="1" xfId="0" applyNumberFormat="1" applyFont="1" applyBorder="1"/>
    <xf numFmtId="0" fontId="8" fillId="0" borderId="1" xfId="0" applyFont="1" applyBorder="1" applyAlignment="1">
      <alignment wrapText="1"/>
    </xf>
    <xf numFmtId="3" fontId="8" fillId="0" borderId="1" xfId="0" applyNumberFormat="1" applyFont="1" applyBorder="1"/>
    <xf numFmtId="0" fontId="8" fillId="0" borderId="1" xfId="0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3" borderId="0" xfId="0" applyFont="1" applyFill="1" applyAlignment="1">
      <alignment horizontal="center"/>
    </xf>
    <xf numFmtId="0" fontId="0" fillId="0" borderId="5" xfId="0" applyBorder="1"/>
    <xf numFmtId="0" fontId="3" fillId="0" borderId="0" xfId="0" applyFont="1" applyBorder="1" applyAlignment="1">
      <alignment horizontal="left" vertical="center"/>
    </xf>
    <xf numFmtId="0" fontId="1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5" fillId="4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164" fontId="5" fillId="5" borderId="6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13" fillId="0" borderId="1" xfId="0" applyNumberFormat="1" applyFont="1" applyBorder="1" applyAlignment="1">
      <alignment horizontal="center"/>
    </xf>
    <xf numFmtId="0" fontId="14" fillId="0" borderId="0" xfId="0" applyFont="1"/>
    <xf numFmtId="3" fontId="16" fillId="0" borderId="1" xfId="0" applyNumberFormat="1" applyFont="1" applyBorder="1" applyAlignment="1">
      <alignment horizontal="center" vertical="center"/>
    </xf>
    <xf numFmtId="3" fontId="16" fillId="0" borderId="8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16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3" fontId="2" fillId="6" borderId="1" xfId="0" applyNumberFormat="1" applyFont="1" applyFill="1" applyBorder="1" applyAlignment="1">
      <alignment horizontal="center"/>
    </xf>
    <xf numFmtId="3" fontId="3" fillId="7" borderId="1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6" fillId="8" borderId="6" xfId="0" applyNumberFormat="1" applyFont="1" applyFill="1" applyBorder="1" applyAlignment="1">
      <alignment horizontal="center"/>
    </xf>
    <xf numFmtId="3" fontId="6" fillId="2" borderId="0" xfId="0" applyNumberFormat="1" applyFont="1" applyFill="1" applyAlignment="1">
      <alignment horizontal="center" vertical="center"/>
    </xf>
    <xf numFmtId="3" fontId="6" fillId="9" borderId="7" xfId="0" applyNumberFormat="1" applyFont="1" applyFill="1" applyBorder="1" applyAlignment="1">
      <alignment horizontal="center" vertical="center"/>
    </xf>
    <xf numFmtId="3" fontId="6" fillId="9" borderId="0" xfId="0" applyNumberFormat="1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center"/>
    </xf>
    <xf numFmtId="3" fontId="19" fillId="0" borderId="1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3" fontId="19" fillId="0" borderId="8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0" fontId="20" fillId="0" borderId="0" xfId="0" applyFont="1"/>
    <xf numFmtId="3" fontId="19" fillId="0" borderId="9" xfId="0" applyNumberFormat="1" applyFont="1" applyBorder="1" applyAlignment="1">
      <alignment horizontal="center" vertical="center"/>
    </xf>
    <xf numFmtId="3" fontId="19" fillId="7" borderId="1" xfId="0" applyNumberFormat="1" applyFont="1" applyFill="1" applyBorder="1" applyAlignment="1">
      <alignment horizontal="center" vertical="center"/>
    </xf>
    <xf numFmtId="3" fontId="19" fillId="11" borderId="8" xfId="0" applyNumberFormat="1" applyFont="1" applyFill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/>
    </xf>
    <xf numFmtId="0" fontId="6" fillId="4" borderId="11" xfId="0" applyFont="1" applyFill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15" fillId="6" borderId="0" xfId="0" applyFont="1" applyFill="1" applyAlignment="1">
      <alignment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6" borderId="2" xfId="0" applyFont="1" applyFill="1" applyBorder="1" applyAlignment="1">
      <alignment wrapText="1"/>
    </xf>
    <xf numFmtId="0" fontId="17" fillId="0" borderId="2" xfId="0" applyFont="1" applyBorder="1" applyAlignment="1">
      <alignment wrapText="1"/>
    </xf>
    <xf numFmtId="0" fontId="6" fillId="12" borderId="2" xfId="0" applyFont="1" applyFill="1" applyBorder="1" applyAlignment="1">
      <alignment wrapText="1"/>
    </xf>
    <xf numFmtId="0" fontId="18" fillId="0" borderId="1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8" fillId="0" borderId="0" xfId="0" applyFont="1"/>
    <xf numFmtId="0" fontId="2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3" fillId="0" borderId="0" xfId="0" applyFont="1"/>
    <xf numFmtId="3" fontId="21" fillId="13" borderId="1" xfId="0" applyNumberFormat="1" applyFont="1" applyFill="1" applyBorder="1" applyAlignment="1">
      <alignment horizontal="center" vertical="center"/>
    </xf>
    <xf numFmtId="3" fontId="19" fillId="13" borderId="1" xfId="0" applyNumberFormat="1" applyFont="1" applyFill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0" fillId="0" borderId="5" xfId="0" applyBorder="1"/>
    <xf numFmtId="3" fontId="10" fillId="0" borderId="12" xfId="0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B9B8"/>
      <rgbColor rgb="00808080"/>
      <rgbColor rgb="009999FF"/>
      <rgbColor rgb="00993366"/>
      <rgbColor rgb="00F2DCDB"/>
      <rgbColor rgb="00DBEEF4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7EFF7"/>
      <rgbColor rgb="00D7E4BD"/>
      <rgbColor rgb="00DDD9C3"/>
      <rgbColor rgb="00AAE9F0"/>
      <rgbColor rgb="00FF99CC"/>
      <rgbColor rgb="00CC99FF"/>
      <rgbColor rgb="00FFCCCC"/>
      <rgbColor rgb="003366FF"/>
      <rgbColor rgb="0033CCCC"/>
      <rgbColor rgb="0099CC00"/>
      <rgbColor rgb="00FFC0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A452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zoomScaleNormal="104" workbookViewId="0">
      <selection activeCell="L40" sqref="L40"/>
    </sheetView>
  </sheetViews>
  <sheetFormatPr defaultColWidth="8.7109375" defaultRowHeight="15"/>
  <cols>
    <col min="1" max="1" width="35" style="25" customWidth="1"/>
    <col min="2" max="2" width="15.140625" style="22" hidden="1" customWidth="1"/>
    <col min="3" max="5" width="16.42578125" style="22" hidden="1" customWidth="1"/>
    <col min="6" max="6" width="21.7109375" style="22" customWidth="1"/>
    <col min="7" max="7" width="28.5703125" style="22" customWidth="1"/>
    <col min="8" max="8" width="18.85546875" style="22" customWidth="1"/>
    <col min="9" max="16384" width="8.7109375" style="22"/>
  </cols>
  <sheetData>
    <row r="1" spans="1:8" ht="31.5">
      <c r="A1" s="72" t="s">
        <v>80</v>
      </c>
      <c r="B1" s="21"/>
      <c r="C1" s="21"/>
      <c r="D1" s="21"/>
      <c r="E1" s="21"/>
      <c r="F1" s="21"/>
      <c r="G1" s="73"/>
      <c r="H1" s="74" t="s">
        <v>64</v>
      </c>
    </row>
    <row r="2" spans="1:8" s="25" customFormat="1" ht="15.75">
      <c r="A2" s="23"/>
      <c r="B2" s="23" t="s">
        <v>0</v>
      </c>
      <c r="C2" s="23" t="s">
        <v>1</v>
      </c>
      <c r="D2" s="23" t="s">
        <v>2</v>
      </c>
      <c r="E2" s="23" t="s">
        <v>3</v>
      </c>
      <c r="F2" s="24" t="s">
        <v>37</v>
      </c>
      <c r="G2" s="24" t="s">
        <v>98</v>
      </c>
      <c r="H2" s="24" t="s">
        <v>38</v>
      </c>
    </row>
    <row r="3" spans="1:8" ht="54">
      <c r="A3" s="61" t="s">
        <v>4</v>
      </c>
      <c r="B3" s="26" t="s">
        <v>5</v>
      </c>
      <c r="C3" s="27" t="s">
        <v>6</v>
      </c>
      <c r="D3" s="28">
        <v>43221</v>
      </c>
      <c r="E3" s="28" t="s">
        <v>7</v>
      </c>
      <c r="F3" s="51" t="s">
        <v>65</v>
      </c>
      <c r="G3" s="51" t="s">
        <v>65</v>
      </c>
      <c r="H3" s="51" t="s">
        <v>81</v>
      </c>
    </row>
    <row r="4" spans="1:8" ht="37.5">
      <c r="A4" s="61" t="s">
        <v>70</v>
      </c>
      <c r="B4" s="26"/>
      <c r="C4" s="27"/>
      <c r="D4" s="28"/>
      <c r="E4" s="28"/>
      <c r="F4" s="51"/>
      <c r="G4" s="51"/>
      <c r="H4" s="52">
        <v>2400000</v>
      </c>
    </row>
    <row r="5" spans="1:8" ht="33">
      <c r="A5" s="15" t="s">
        <v>8</v>
      </c>
      <c r="B5" s="1">
        <v>28214000</v>
      </c>
      <c r="C5" s="1">
        <v>25044809</v>
      </c>
      <c r="D5" s="1">
        <v>2500000</v>
      </c>
      <c r="E5" s="1">
        <f>C5+D5</f>
        <v>27544809</v>
      </c>
      <c r="F5" s="52">
        <v>30548500</v>
      </c>
      <c r="G5" s="52">
        <v>31900000</v>
      </c>
      <c r="H5" s="75">
        <f>H46-H6-H7-H4</f>
        <v>33287500</v>
      </c>
    </row>
    <row r="6" spans="1:8" ht="33">
      <c r="A6" s="30" t="s">
        <v>9</v>
      </c>
      <c r="B6" s="1">
        <v>300000</v>
      </c>
      <c r="C6" s="1">
        <v>441664</v>
      </c>
      <c r="D6" s="31">
        <v>30000</v>
      </c>
      <c r="E6" s="1">
        <f>C6+D6</f>
        <v>471664</v>
      </c>
      <c r="F6" s="53">
        <v>250000</v>
      </c>
      <c r="G6" s="53">
        <v>480000</v>
      </c>
      <c r="H6" s="53">
        <v>450000</v>
      </c>
    </row>
    <row r="7" spans="1:8" ht="33">
      <c r="A7" s="30" t="s">
        <v>58</v>
      </c>
      <c r="B7" s="32">
        <v>300000</v>
      </c>
      <c r="C7" s="1">
        <v>614020</v>
      </c>
      <c r="D7" s="1">
        <v>50000</v>
      </c>
      <c r="E7" s="1">
        <f>C7+D7</f>
        <v>664020</v>
      </c>
      <c r="F7" s="52">
        <v>420000</v>
      </c>
      <c r="G7" s="52">
        <v>420000</v>
      </c>
      <c r="H7" s="52">
        <v>540000</v>
      </c>
    </row>
    <row r="8" spans="1:8" s="34" customFormat="1" ht="16.5">
      <c r="A8" s="62" t="s">
        <v>10</v>
      </c>
      <c r="B8" s="33">
        <f t="shared" ref="B8:H8" si="0">SUM(B5:B7)</f>
        <v>28814000</v>
      </c>
      <c r="C8" s="33">
        <f t="shared" si="0"/>
        <v>26100493</v>
      </c>
      <c r="D8" s="33">
        <f t="shared" si="0"/>
        <v>2580000</v>
      </c>
      <c r="E8" s="1">
        <f t="shared" si="0"/>
        <v>28680493</v>
      </c>
      <c r="F8" s="52">
        <f t="shared" si="0"/>
        <v>31218500</v>
      </c>
      <c r="G8" s="76">
        <f t="shared" si="0"/>
        <v>32800000</v>
      </c>
      <c r="H8" s="76">
        <f t="shared" si="0"/>
        <v>34277500</v>
      </c>
    </row>
    <row r="9" spans="1:8" s="34" customFormat="1" ht="33">
      <c r="A9" s="62" t="s">
        <v>57</v>
      </c>
      <c r="B9" s="33"/>
      <c r="C9" s="33"/>
      <c r="D9" s="33"/>
      <c r="E9" s="1"/>
      <c r="F9" s="52"/>
      <c r="G9" s="52"/>
      <c r="H9" s="76">
        <f>H8+H4</f>
        <v>36677500</v>
      </c>
    </row>
    <row r="10" spans="1:8" ht="37.5">
      <c r="A10" s="63" t="s">
        <v>67</v>
      </c>
      <c r="B10" s="35"/>
      <c r="C10" s="35"/>
      <c r="D10" s="36"/>
      <c r="E10" s="36"/>
      <c r="F10" s="54"/>
      <c r="G10" s="55"/>
      <c r="H10" s="56"/>
    </row>
    <row r="11" spans="1:8" ht="15.75">
      <c r="A11" s="42" t="s">
        <v>11</v>
      </c>
      <c r="B11" s="35">
        <v>900000</v>
      </c>
      <c r="C11" s="39">
        <v>652009</v>
      </c>
      <c r="D11" s="39">
        <v>94800</v>
      </c>
      <c r="E11" s="1">
        <f t="shared" ref="E11:E23" si="1">C11+D11</f>
        <v>746809</v>
      </c>
      <c r="F11" s="57">
        <v>750000</v>
      </c>
      <c r="G11" s="52">
        <v>700000</v>
      </c>
      <c r="H11" s="52">
        <v>700000</v>
      </c>
    </row>
    <row r="12" spans="1:8" ht="15.75">
      <c r="A12" s="64" t="s">
        <v>12</v>
      </c>
      <c r="B12" s="39">
        <v>140000</v>
      </c>
      <c r="C12" s="39">
        <v>106227</v>
      </c>
      <c r="D12" s="39">
        <v>9600</v>
      </c>
      <c r="E12" s="1">
        <f t="shared" si="1"/>
        <v>115827</v>
      </c>
      <c r="F12" s="52">
        <v>30000</v>
      </c>
      <c r="G12" s="52">
        <v>30000</v>
      </c>
      <c r="H12" s="52">
        <v>30000</v>
      </c>
    </row>
    <row r="13" spans="1:8" ht="15.75">
      <c r="A13" s="42" t="s">
        <v>13</v>
      </c>
      <c r="B13" s="35">
        <v>100000</v>
      </c>
      <c r="C13" s="35">
        <v>91700</v>
      </c>
      <c r="D13" s="35">
        <v>7600</v>
      </c>
      <c r="E13" s="1">
        <f t="shared" si="1"/>
        <v>99300</v>
      </c>
      <c r="F13" s="52">
        <v>100000</v>
      </c>
      <c r="G13" s="52">
        <v>100000</v>
      </c>
      <c r="H13" s="52">
        <v>100000</v>
      </c>
    </row>
    <row r="14" spans="1:8" ht="15.75">
      <c r="A14" s="64" t="s">
        <v>66</v>
      </c>
      <c r="B14" s="1">
        <v>7860000</v>
      </c>
      <c r="C14" s="1">
        <v>7006795</v>
      </c>
      <c r="D14" s="1">
        <v>625000</v>
      </c>
      <c r="E14" s="1">
        <f t="shared" si="1"/>
        <v>7631795</v>
      </c>
      <c r="F14" s="52">
        <v>7500000</v>
      </c>
      <c r="G14" s="52">
        <v>7200000</v>
      </c>
      <c r="H14" s="52">
        <v>7800000</v>
      </c>
    </row>
    <row r="15" spans="1:8" ht="15.75">
      <c r="A15" s="64" t="s">
        <v>15</v>
      </c>
      <c r="B15" s="1">
        <v>500000</v>
      </c>
      <c r="C15" s="1">
        <v>70000</v>
      </c>
      <c r="D15" s="1">
        <v>0</v>
      </c>
      <c r="E15" s="1">
        <f t="shared" si="1"/>
        <v>70000</v>
      </c>
      <c r="F15" s="52">
        <v>500000</v>
      </c>
      <c r="G15" s="52">
        <v>540000</v>
      </c>
      <c r="H15" s="52">
        <v>550000</v>
      </c>
    </row>
    <row r="16" spans="1:8" ht="15.75">
      <c r="A16" s="64" t="s">
        <v>16</v>
      </c>
      <c r="B16" s="1">
        <v>2374000</v>
      </c>
      <c r="C16" s="1">
        <v>1872303</v>
      </c>
      <c r="D16" s="1">
        <v>165000</v>
      </c>
      <c r="E16" s="1">
        <f t="shared" si="1"/>
        <v>2037303</v>
      </c>
      <c r="F16" s="52">
        <v>2420000</v>
      </c>
      <c r="G16" s="52">
        <v>2200000</v>
      </c>
      <c r="H16" s="52">
        <v>2500000</v>
      </c>
    </row>
    <row r="17" spans="1:12" ht="30">
      <c r="A17" s="40" t="s">
        <v>17</v>
      </c>
      <c r="B17" s="1">
        <v>200000</v>
      </c>
      <c r="C17" s="1">
        <v>289755</v>
      </c>
      <c r="D17" s="1">
        <v>10000</v>
      </c>
      <c r="E17" s="1">
        <f t="shared" si="1"/>
        <v>299755</v>
      </c>
      <c r="F17" s="52">
        <v>120000</v>
      </c>
      <c r="G17" s="52">
        <v>200000</v>
      </c>
      <c r="H17" s="52">
        <v>150000</v>
      </c>
    </row>
    <row r="18" spans="1:12" ht="15.75">
      <c r="A18" s="42" t="s">
        <v>18</v>
      </c>
      <c r="B18" s="1">
        <v>1900000</v>
      </c>
      <c r="C18" s="1">
        <v>2437592</v>
      </c>
      <c r="D18" s="1">
        <v>200000</v>
      </c>
      <c r="E18" s="1">
        <f t="shared" si="1"/>
        <v>2637592</v>
      </c>
      <c r="F18" s="52">
        <v>4800000</v>
      </c>
      <c r="G18" s="52">
        <v>4900000</v>
      </c>
      <c r="H18" s="52">
        <v>4900000</v>
      </c>
    </row>
    <row r="19" spans="1:12" ht="16.5">
      <c r="A19" s="3" t="s">
        <v>19</v>
      </c>
      <c r="B19" s="1"/>
      <c r="C19" s="1"/>
      <c r="D19" s="1"/>
      <c r="E19" s="1">
        <f t="shared" si="1"/>
        <v>0</v>
      </c>
      <c r="F19" s="52">
        <v>6210000</v>
      </c>
      <c r="G19" s="52">
        <v>6210000</v>
      </c>
      <c r="H19" s="52">
        <v>6210000</v>
      </c>
      <c r="L19" s="22" t="s">
        <v>73</v>
      </c>
    </row>
    <row r="20" spans="1:12" hidden="1">
      <c r="B20" s="1">
        <v>6840000</v>
      </c>
      <c r="C20" s="1">
        <v>6270000</v>
      </c>
      <c r="D20" s="1">
        <v>570000</v>
      </c>
      <c r="E20" s="1">
        <f t="shared" si="1"/>
        <v>6840000</v>
      </c>
      <c r="F20" s="52"/>
      <c r="G20" s="52"/>
      <c r="H20" s="52"/>
    </row>
    <row r="21" spans="1:12" ht="16.5" hidden="1">
      <c r="A21" s="65" t="s">
        <v>39</v>
      </c>
      <c r="B21" s="1"/>
      <c r="C21" s="1"/>
      <c r="D21" s="1"/>
      <c r="E21" s="1"/>
      <c r="F21" s="52">
        <v>0</v>
      </c>
      <c r="G21" s="52">
        <v>0</v>
      </c>
      <c r="H21" s="52">
        <v>0</v>
      </c>
    </row>
    <row r="22" spans="1:12" ht="30">
      <c r="A22" s="40" t="s">
        <v>20</v>
      </c>
      <c r="B22" s="1">
        <v>230000</v>
      </c>
      <c r="C22" s="1">
        <v>196712</v>
      </c>
      <c r="D22" s="1">
        <v>17930</v>
      </c>
      <c r="E22" s="1">
        <f t="shared" si="1"/>
        <v>214642</v>
      </c>
      <c r="F22" s="52">
        <v>250000</v>
      </c>
      <c r="G22" s="52">
        <v>250000</v>
      </c>
      <c r="H22" s="52">
        <v>250000</v>
      </c>
    </row>
    <row r="23" spans="1:12" ht="33">
      <c r="A23" s="41" t="s">
        <v>21</v>
      </c>
      <c r="B23" s="1">
        <v>200000</v>
      </c>
      <c r="C23" s="1">
        <v>189736</v>
      </c>
      <c r="D23" s="1">
        <v>18000</v>
      </c>
      <c r="E23" s="1">
        <f t="shared" si="1"/>
        <v>207736</v>
      </c>
      <c r="F23" s="52">
        <v>400000</v>
      </c>
      <c r="G23" s="52">
        <v>300000</v>
      </c>
      <c r="H23" s="52">
        <v>300000</v>
      </c>
    </row>
    <row r="24" spans="1:12" ht="15.75">
      <c r="A24" s="42" t="s">
        <v>41</v>
      </c>
      <c r="B24" s="1"/>
      <c r="C24" s="1"/>
      <c r="D24" s="1"/>
      <c r="E24" s="1"/>
      <c r="F24" s="52">
        <v>350000</v>
      </c>
      <c r="G24" s="52">
        <v>360000</v>
      </c>
      <c r="H24" s="52">
        <v>350000</v>
      </c>
    </row>
    <row r="25" spans="1:12" ht="33" hidden="1">
      <c r="A25" s="3" t="s">
        <v>22</v>
      </c>
      <c r="B25" s="1">
        <v>280000</v>
      </c>
      <c r="C25" s="1">
        <v>168660</v>
      </c>
      <c r="D25" s="1">
        <v>0</v>
      </c>
      <c r="E25" s="1">
        <f t="shared" ref="E25:E37" si="2">C25+D25</f>
        <v>168660</v>
      </c>
      <c r="F25" s="52"/>
      <c r="G25" s="52"/>
      <c r="H25" s="52"/>
    </row>
    <row r="26" spans="1:12" ht="33" hidden="1">
      <c r="A26" s="3" t="s">
        <v>23</v>
      </c>
      <c r="B26" s="1">
        <v>240000</v>
      </c>
      <c r="C26" s="1">
        <v>78122</v>
      </c>
      <c r="D26" s="1">
        <v>2240</v>
      </c>
      <c r="E26" s="1">
        <f t="shared" si="2"/>
        <v>80362</v>
      </c>
      <c r="F26" s="52"/>
      <c r="G26" s="52"/>
      <c r="H26" s="52"/>
    </row>
    <row r="27" spans="1:12" ht="15.75">
      <c r="A27" s="42" t="s">
        <v>24</v>
      </c>
      <c r="B27" s="1"/>
      <c r="C27" s="1"/>
      <c r="D27" s="1"/>
      <c r="E27" s="1">
        <f t="shared" si="2"/>
        <v>0</v>
      </c>
      <c r="F27" s="52">
        <v>1800000</v>
      </c>
      <c r="G27" s="52">
        <v>1600000</v>
      </c>
      <c r="H27" s="52">
        <v>1700000</v>
      </c>
    </row>
    <row r="28" spans="1:12" ht="33" hidden="1">
      <c r="A28" s="3" t="s">
        <v>25</v>
      </c>
      <c r="B28" s="1">
        <v>180000</v>
      </c>
      <c r="C28" s="1">
        <v>143923</v>
      </c>
      <c r="D28" s="1">
        <v>7750</v>
      </c>
      <c r="E28" s="1">
        <f t="shared" si="2"/>
        <v>151673</v>
      </c>
      <c r="F28" s="52"/>
      <c r="G28" s="52"/>
      <c r="H28" s="52"/>
    </row>
    <row r="29" spans="1:12" ht="16.5" hidden="1">
      <c r="A29" s="3" t="s">
        <v>26</v>
      </c>
      <c r="B29" s="1">
        <v>2200000</v>
      </c>
      <c r="C29" s="1">
        <v>2174440</v>
      </c>
      <c r="D29" s="1">
        <v>170000</v>
      </c>
      <c r="E29" s="1">
        <f t="shared" si="2"/>
        <v>2344440</v>
      </c>
      <c r="F29" s="52"/>
      <c r="G29" s="52"/>
      <c r="H29" s="52"/>
    </row>
    <row r="30" spans="1:12" ht="30">
      <c r="A30" s="43" t="s">
        <v>27</v>
      </c>
      <c r="B30" s="1">
        <v>350000</v>
      </c>
      <c r="C30" s="1">
        <v>351486</v>
      </c>
      <c r="D30" s="1">
        <v>18000</v>
      </c>
      <c r="E30" s="1">
        <f t="shared" si="2"/>
        <v>369486</v>
      </c>
      <c r="F30" s="52">
        <v>250000</v>
      </c>
      <c r="G30" s="52">
        <v>260000</v>
      </c>
      <c r="H30" s="52">
        <v>250000</v>
      </c>
    </row>
    <row r="31" spans="1:12">
      <c r="A31" s="43" t="s">
        <v>28</v>
      </c>
      <c r="B31" s="1">
        <v>400000</v>
      </c>
      <c r="C31" s="1">
        <v>298000</v>
      </c>
      <c r="D31" s="1"/>
      <c r="E31" s="1">
        <f t="shared" si="2"/>
        <v>298000</v>
      </c>
      <c r="F31" s="52">
        <v>500000</v>
      </c>
      <c r="G31" s="52">
        <v>620000</v>
      </c>
      <c r="H31" s="52">
        <v>600000</v>
      </c>
    </row>
    <row r="32" spans="1:12" ht="15.75">
      <c r="A32" s="42" t="s">
        <v>29</v>
      </c>
      <c r="B32" s="1">
        <v>250000</v>
      </c>
      <c r="C32" s="1">
        <v>192731</v>
      </c>
      <c r="D32" s="1">
        <v>9659</v>
      </c>
      <c r="E32" s="1">
        <f t="shared" si="2"/>
        <v>202390</v>
      </c>
      <c r="F32" s="52">
        <v>250000</v>
      </c>
      <c r="G32" s="52">
        <v>320000</v>
      </c>
      <c r="H32" s="52">
        <v>300000</v>
      </c>
    </row>
    <row r="33" spans="1:11" ht="45.75">
      <c r="A33" s="42" t="s">
        <v>60</v>
      </c>
      <c r="B33" s="1">
        <v>0</v>
      </c>
      <c r="C33" s="1">
        <v>0</v>
      </c>
      <c r="D33" s="1">
        <v>0</v>
      </c>
      <c r="E33" s="1">
        <f t="shared" si="2"/>
        <v>0</v>
      </c>
      <c r="F33" s="52">
        <v>800000</v>
      </c>
      <c r="G33" s="52">
        <v>800000</v>
      </c>
      <c r="H33" s="52">
        <v>700000</v>
      </c>
    </row>
    <row r="34" spans="1:11" ht="34.5" customHeight="1">
      <c r="A34" s="42" t="s">
        <v>61</v>
      </c>
      <c r="B34" s="1">
        <v>0</v>
      </c>
      <c r="C34" s="1">
        <v>0</v>
      </c>
      <c r="D34" s="37">
        <v>0</v>
      </c>
      <c r="E34" s="1">
        <f t="shared" si="2"/>
        <v>0</v>
      </c>
      <c r="F34" s="54">
        <v>240000</v>
      </c>
      <c r="G34" s="54">
        <v>240000</v>
      </c>
      <c r="H34" s="54">
        <v>210000</v>
      </c>
    </row>
    <row r="35" spans="1:11" ht="15.75">
      <c r="A35" s="14" t="s">
        <v>100</v>
      </c>
      <c r="B35" s="1"/>
      <c r="C35" s="1"/>
      <c r="D35" s="1"/>
      <c r="E35" s="1"/>
      <c r="F35" s="52"/>
      <c r="G35" s="52"/>
      <c r="H35" s="52">
        <v>150000</v>
      </c>
    </row>
    <row r="36" spans="1:11" ht="15.75">
      <c r="A36" s="64" t="s">
        <v>32</v>
      </c>
      <c r="B36" s="77">
        <v>1282200</v>
      </c>
      <c r="C36" s="31">
        <v>841741</v>
      </c>
      <c r="D36" s="31">
        <v>0</v>
      </c>
      <c r="E36" s="77">
        <f t="shared" si="2"/>
        <v>841741</v>
      </c>
      <c r="F36" s="53">
        <v>1363500</v>
      </c>
      <c r="G36" s="53">
        <v>1400000</v>
      </c>
      <c r="H36" s="53">
        <f>0.05*SUM(H11:H18,H19,H22:H23,H24,H27,H30:H35)</f>
        <v>1387500</v>
      </c>
    </row>
    <row r="37" spans="1:11" s="34" customFormat="1" ht="33">
      <c r="A37" s="66" t="s">
        <v>68</v>
      </c>
      <c r="B37" s="44">
        <f>SUM(B11:B36)</f>
        <v>26426200</v>
      </c>
      <c r="C37" s="44">
        <f>SUM(C11:C36)</f>
        <v>23431932</v>
      </c>
      <c r="D37" s="44">
        <f>SUM(D11:D36)</f>
        <v>1925579</v>
      </c>
      <c r="E37" s="45">
        <f t="shared" si="2"/>
        <v>25357511</v>
      </c>
      <c r="F37" s="58">
        <f>F11+F12+F13+F14+F15+F16+F17+F18+F19+F22+F23+F24+F27+F30+F31+F32+F33+F34+F36</f>
        <v>28633500</v>
      </c>
      <c r="G37" s="58">
        <f>G11+G12+G13+G14+G15+G16+G17+G18+G19+G22+G23+G24+G27+G30+G31+G32+G33+G34+G36</f>
        <v>28230000</v>
      </c>
      <c r="H37" s="58">
        <f>SUM(H11:H19,H22:H23,H24,H27,H30:H35)+H36</f>
        <v>29137500</v>
      </c>
      <c r="I37" s="22"/>
      <c r="J37" s="22"/>
      <c r="K37" s="22"/>
    </row>
    <row r="38" spans="1:11" ht="18.75">
      <c r="A38" s="67"/>
      <c r="B38" s="46"/>
      <c r="C38" s="46"/>
      <c r="D38" s="46"/>
      <c r="E38" s="46"/>
      <c r="F38" s="53"/>
      <c r="G38" s="55"/>
      <c r="H38" s="56"/>
    </row>
    <row r="39" spans="1:11" ht="56.25">
      <c r="A39" s="68" t="s">
        <v>69</v>
      </c>
      <c r="B39" s="47"/>
      <c r="C39" s="47"/>
      <c r="D39" s="47"/>
      <c r="E39" s="47"/>
      <c r="F39" s="59">
        <v>4785000</v>
      </c>
      <c r="G39" s="52">
        <v>4900000</v>
      </c>
      <c r="H39" s="76">
        <f>SUM(H40:H45)</f>
        <v>7540000</v>
      </c>
      <c r="J39" s="34"/>
      <c r="K39" s="34"/>
    </row>
    <row r="40" spans="1:11" ht="15.75">
      <c r="A40" s="14" t="s">
        <v>36</v>
      </c>
      <c r="B40" s="1"/>
      <c r="C40" s="1"/>
      <c r="D40" s="1"/>
      <c r="E40" s="1"/>
      <c r="F40" s="52"/>
      <c r="G40" s="52"/>
      <c r="H40" s="52">
        <v>3000000</v>
      </c>
    </row>
    <row r="41" spans="1:11" ht="15.75">
      <c r="A41" s="14" t="s">
        <v>59</v>
      </c>
      <c r="B41" s="1"/>
      <c r="C41" s="1"/>
      <c r="D41" s="1"/>
      <c r="E41" s="1"/>
      <c r="F41" s="52"/>
      <c r="G41" s="52"/>
      <c r="H41" s="52">
        <v>1200000</v>
      </c>
    </row>
    <row r="42" spans="1:11" ht="15.75">
      <c r="A42" s="14" t="s">
        <v>74</v>
      </c>
      <c r="B42" s="1"/>
      <c r="C42" s="1"/>
      <c r="D42" s="1"/>
      <c r="E42" s="1"/>
      <c r="F42" s="52"/>
      <c r="G42" s="52"/>
      <c r="H42" s="52">
        <v>1600000</v>
      </c>
    </row>
    <row r="43" spans="1:11" ht="15.75">
      <c r="A43" s="14" t="s">
        <v>97</v>
      </c>
      <c r="B43" s="1"/>
      <c r="C43" s="1"/>
      <c r="D43" s="1"/>
      <c r="E43" s="1"/>
      <c r="F43" s="52"/>
      <c r="G43" s="52"/>
      <c r="H43" s="52">
        <v>100000</v>
      </c>
      <c r="I43" s="34"/>
    </row>
    <row r="44" spans="1:11" ht="15.75">
      <c r="A44" s="14" t="s">
        <v>99</v>
      </c>
      <c r="B44" s="1"/>
      <c r="C44" s="1"/>
      <c r="D44" s="1"/>
      <c r="E44" s="1"/>
      <c r="F44" s="52"/>
      <c r="G44" s="52"/>
      <c r="H44" s="52">
        <v>1440000</v>
      </c>
      <c r="I44" s="34"/>
    </row>
    <row r="45" spans="1:11" ht="15.75">
      <c r="A45" s="14" t="s">
        <v>75</v>
      </c>
      <c r="B45" s="1"/>
      <c r="C45" s="1"/>
      <c r="D45" s="1"/>
      <c r="E45" s="1"/>
      <c r="F45" s="52"/>
      <c r="G45" s="52"/>
      <c r="H45" s="52">
        <v>200000</v>
      </c>
    </row>
    <row r="46" spans="1:11" ht="18.75">
      <c r="A46" s="69" t="s">
        <v>33</v>
      </c>
      <c r="B46" s="29" t="e">
        <f>B37+#REF!</f>
        <v>#REF!</v>
      </c>
      <c r="C46" s="29" t="e">
        <f>C37+#REF!</f>
        <v>#REF!</v>
      </c>
      <c r="D46" s="29" t="e">
        <f>D37+#REF!</f>
        <v>#REF!</v>
      </c>
      <c r="E46" s="1" t="e">
        <f>C46+D46</f>
        <v>#REF!</v>
      </c>
      <c r="F46" s="60">
        <f>F37+F39</f>
        <v>33418500</v>
      </c>
      <c r="G46" s="60">
        <f>G37+G39</f>
        <v>33130000</v>
      </c>
      <c r="H46" s="75">
        <f>H37+H39</f>
        <v>36677500</v>
      </c>
    </row>
    <row r="47" spans="1:11" ht="11.25" customHeight="1">
      <c r="A47" s="70"/>
      <c r="F47" s="31"/>
      <c r="G47" s="38"/>
    </row>
    <row r="48" spans="1:11" ht="56.25" hidden="1" customHeight="1">
      <c r="A48" s="4" t="s">
        <v>34</v>
      </c>
      <c r="B48" s="48" t="e">
        <f>B8-B46</f>
        <v>#REF!</v>
      </c>
      <c r="C48" s="48"/>
      <c r="D48" s="48"/>
      <c r="E48" s="48" t="e">
        <f>E8-E46</f>
        <v>#REF!</v>
      </c>
      <c r="F48" s="49">
        <f>F8-F46</f>
        <v>-2200000</v>
      </c>
      <c r="G48" s="50"/>
    </row>
  </sheetData>
  <phoneticPr fontId="7" type="noConversion"/>
  <pageMargins left="0.70833333333333304" right="0.70833333333333304" top="0.35416666666666702" bottom="0.35416666666666702" header="0.51180555555555496" footer="0.51180555555555496"/>
  <pageSetup paperSize="9" scale="90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opLeftCell="A31" zoomScaleNormal="100" zoomScalePageLayoutView="60" workbookViewId="0">
      <selection activeCell="F59" sqref="F59"/>
    </sheetView>
  </sheetViews>
  <sheetFormatPr defaultRowHeight="17.25"/>
  <cols>
    <col min="1" max="1" width="77.7109375" style="5" customWidth="1"/>
    <col min="2" max="2" width="15.140625" style="5" customWidth="1"/>
    <col min="3" max="3" width="18.140625" style="5" customWidth="1"/>
    <col min="4" max="4" width="12.7109375" style="5" bestFit="1" customWidth="1"/>
    <col min="5" max="5" width="13.85546875" style="5" customWidth="1"/>
    <col min="6" max="6" width="13.140625" style="5" customWidth="1"/>
    <col min="7" max="9" width="9.140625" style="5"/>
    <col min="10" max="10" width="27.140625" style="5" customWidth="1"/>
    <col min="11" max="12" width="9.140625" style="5"/>
    <col min="13" max="13" width="12.28515625" style="5" customWidth="1"/>
    <col min="14" max="16384" width="9.140625" style="5"/>
  </cols>
  <sheetData>
    <row r="1" spans="1:6" ht="54" customHeight="1">
      <c r="A1" s="71" t="s">
        <v>40</v>
      </c>
    </row>
    <row r="2" spans="1:6">
      <c r="A2" s="71" t="s">
        <v>79</v>
      </c>
    </row>
    <row r="5" spans="1:6">
      <c r="A5" s="9" t="s">
        <v>50</v>
      </c>
      <c r="B5" s="9">
        <v>6933.15</v>
      </c>
    </row>
    <row r="6" spans="1:6" s="6" customFormat="1" ht="34.5">
      <c r="A6" s="8" t="s">
        <v>51</v>
      </c>
      <c r="B6" s="8">
        <v>116.89</v>
      </c>
    </row>
    <row r="7" spans="1:6">
      <c r="A7" s="9" t="s">
        <v>47</v>
      </c>
      <c r="B7" s="9">
        <v>262.85000000000002</v>
      </c>
    </row>
    <row r="8" spans="1:6">
      <c r="A8" s="9" t="s">
        <v>48</v>
      </c>
      <c r="B8" s="9">
        <v>263.25</v>
      </c>
    </row>
    <row r="10" spans="1:6" s="6" customFormat="1" ht="69">
      <c r="A10" s="8" t="s">
        <v>52</v>
      </c>
      <c r="B10" s="8" t="s">
        <v>53</v>
      </c>
      <c r="C10" s="8" t="s">
        <v>96</v>
      </c>
      <c r="D10" s="8" t="s">
        <v>44</v>
      </c>
      <c r="E10" s="8" t="s">
        <v>83</v>
      </c>
      <c r="F10" s="8" t="s">
        <v>45</v>
      </c>
    </row>
    <row r="11" spans="1:6">
      <c r="A11" s="9" t="s">
        <v>11</v>
      </c>
      <c r="B11" s="10">
        <f ca="1">'ФИНПЛАН 20-21 '!H11</f>
        <v>700000</v>
      </c>
      <c r="C11" s="9">
        <v>0</v>
      </c>
      <c r="D11" s="9">
        <f t="shared" ref="D11:D17" si="0">B11</f>
        <v>700000</v>
      </c>
      <c r="E11" s="9">
        <v>0</v>
      </c>
      <c r="F11" s="9"/>
    </row>
    <row r="12" spans="1:6">
      <c r="A12" s="9" t="s">
        <v>12</v>
      </c>
      <c r="B12" s="10">
        <f ca="1">'ФИНПЛАН 20-21 '!H12</f>
        <v>30000</v>
      </c>
      <c r="C12" s="9">
        <v>0</v>
      </c>
      <c r="D12" s="9">
        <f t="shared" si="0"/>
        <v>30000</v>
      </c>
      <c r="E12" s="9">
        <v>0</v>
      </c>
      <c r="F12" s="9"/>
    </row>
    <row r="13" spans="1:6">
      <c r="A13" s="9" t="s">
        <v>13</v>
      </c>
      <c r="B13" s="10">
        <f ca="1">'ФИНПЛАН 20-21 '!H13</f>
        <v>100000</v>
      </c>
      <c r="C13" s="9">
        <v>0</v>
      </c>
      <c r="D13" s="9">
        <f t="shared" si="0"/>
        <v>100000</v>
      </c>
      <c r="E13" s="9">
        <v>0</v>
      </c>
      <c r="F13" s="9"/>
    </row>
    <row r="14" spans="1:6">
      <c r="A14" s="9" t="s">
        <v>14</v>
      </c>
      <c r="B14" s="10">
        <f ca="1">'ФИНПЛАН 20-21 '!H14</f>
        <v>7800000</v>
      </c>
      <c r="C14" s="9">
        <v>0</v>
      </c>
      <c r="D14" s="9">
        <f t="shared" si="0"/>
        <v>7800000</v>
      </c>
      <c r="E14" s="9">
        <v>0</v>
      </c>
      <c r="F14" s="9"/>
    </row>
    <row r="15" spans="1:6">
      <c r="A15" s="9" t="s">
        <v>15</v>
      </c>
      <c r="B15" s="10">
        <f ca="1">'ФИНПЛАН 20-21 '!H15</f>
        <v>550000</v>
      </c>
      <c r="C15" s="9">
        <v>0</v>
      </c>
      <c r="D15" s="9">
        <f t="shared" si="0"/>
        <v>550000</v>
      </c>
      <c r="E15" s="9">
        <v>0</v>
      </c>
      <c r="F15" s="9"/>
    </row>
    <row r="16" spans="1:6">
      <c r="A16" s="9" t="s">
        <v>16</v>
      </c>
      <c r="B16" s="10">
        <f ca="1">'ФИНПЛАН 20-21 '!H16</f>
        <v>2500000</v>
      </c>
      <c r="C16" s="9">
        <v>0</v>
      </c>
      <c r="D16" s="9">
        <f t="shared" si="0"/>
        <v>2500000</v>
      </c>
      <c r="E16" s="9">
        <v>0</v>
      </c>
      <c r="F16" s="9"/>
    </row>
    <row r="17" spans="1:6">
      <c r="A17" s="9" t="s">
        <v>17</v>
      </c>
      <c r="B17" s="10">
        <f ca="1">'ФИНПЛАН 20-21 '!H17</f>
        <v>150000</v>
      </c>
      <c r="C17" s="9">
        <v>0</v>
      </c>
      <c r="D17" s="9">
        <f t="shared" si="0"/>
        <v>150000</v>
      </c>
      <c r="E17" s="9">
        <v>0</v>
      </c>
      <c r="F17" s="9"/>
    </row>
    <row r="18" spans="1:6">
      <c r="A18" s="9" t="s">
        <v>18</v>
      </c>
      <c r="B18" s="10">
        <f ca="1">'ФИНПЛАН 20-21 '!H18</f>
        <v>4900000</v>
      </c>
      <c r="C18" s="9">
        <v>0</v>
      </c>
      <c r="D18" s="9">
        <v>0</v>
      </c>
      <c r="E18" s="10">
        <v>0</v>
      </c>
      <c r="F18" s="10">
        <f>B18</f>
        <v>4900000</v>
      </c>
    </row>
    <row r="19" spans="1:6">
      <c r="A19" s="9" t="s">
        <v>19</v>
      </c>
      <c r="B19" s="10">
        <f ca="1">'ФИНПЛАН 20-21 '!H19</f>
        <v>6210000</v>
      </c>
      <c r="C19" s="10">
        <f>B19</f>
        <v>6210000</v>
      </c>
      <c r="D19" s="10">
        <v>0</v>
      </c>
      <c r="E19" s="9">
        <v>0</v>
      </c>
      <c r="F19" s="9"/>
    </row>
    <row r="20" spans="1:6">
      <c r="A20" s="9" t="s">
        <v>20</v>
      </c>
      <c r="B20" s="9">
        <v>250000</v>
      </c>
      <c r="C20" s="10">
        <f>B20</f>
        <v>250000</v>
      </c>
      <c r="D20" s="9">
        <v>0</v>
      </c>
      <c r="E20" s="9">
        <v>0</v>
      </c>
      <c r="F20" s="9"/>
    </row>
    <row r="21" spans="1:6">
      <c r="A21" s="9" t="s">
        <v>21</v>
      </c>
      <c r="B21" s="10">
        <f ca="1">'ФИНПЛАН 20-21 '!H23</f>
        <v>300000</v>
      </c>
      <c r="C21" s="10">
        <v>0</v>
      </c>
      <c r="D21" s="10">
        <v>0</v>
      </c>
      <c r="E21" s="10">
        <f>B21</f>
        <v>300000</v>
      </c>
      <c r="F21" s="9"/>
    </row>
    <row r="22" spans="1:6">
      <c r="A22" s="9" t="s">
        <v>41</v>
      </c>
      <c r="B22" s="10">
        <f ca="1">'ФИНПЛАН 20-21 '!H24</f>
        <v>350000</v>
      </c>
      <c r="C22" s="10">
        <f>B22</f>
        <v>350000</v>
      </c>
      <c r="D22" s="10">
        <v>0</v>
      </c>
      <c r="E22" s="9">
        <v>0</v>
      </c>
      <c r="F22" s="9"/>
    </row>
    <row r="23" spans="1:6">
      <c r="A23" s="9" t="s">
        <v>42</v>
      </c>
      <c r="B23" s="10">
        <f ca="1">'ФИНПЛАН 20-21 '!H27</f>
        <v>1700000</v>
      </c>
      <c r="C23" s="9">
        <v>0</v>
      </c>
      <c r="D23" s="10">
        <f t="shared" ref="D23:D32" si="1">B23</f>
        <v>1700000</v>
      </c>
      <c r="E23" s="9">
        <v>0</v>
      </c>
      <c r="F23" s="9"/>
    </row>
    <row r="24" spans="1:6">
      <c r="A24" s="9" t="s">
        <v>27</v>
      </c>
      <c r="B24" s="10">
        <f ca="1">'ФИНПЛАН 20-21 '!H30</f>
        <v>250000</v>
      </c>
      <c r="C24" s="9">
        <v>0</v>
      </c>
      <c r="D24" s="10">
        <f t="shared" si="1"/>
        <v>250000</v>
      </c>
      <c r="E24" s="9">
        <v>0</v>
      </c>
      <c r="F24" s="9"/>
    </row>
    <row r="25" spans="1:6">
      <c r="A25" s="9" t="s">
        <v>28</v>
      </c>
      <c r="B25" s="10">
        <f ca="1">'ФИНПЛАН 20-21 '!H31</f>
        <v>600000</v>
      </c>
      <c r="C25" s="9">
        <v>0</v>
      </c>
      <c r="D25" s="10">
        <f t="shared" si="1"/>
        <v>600000</v>
      </c>
      <c r="E25" s="9">
        <v>0</v>
      </c>
      <c r="F25" s="9"/>
    </row>
    <row r="26" spans="1:6">
      <c r="A26" s="9" t="s">
        <v>29</v>
      </c>
      <c r="B26" s="10">
        <f ca="1">'ФИНПЛАН 20-21 '!H32</f>
        <v>300000</v>
      </c>
      <c r="C26" s="9">
        <v>0</v>
      </c>
      <c r="D26" s="10">
        <f t="shared" si="1"/>
        <v>300000</v>
      </c>
      <c r="E26" s="9">
        <v>0</v>
      </c>
      <c r="F26" s="9"/>
    </row>
    <row r="27" spans="1:6">
      <c r="A27" s="9" t="s">
        <v>30</v>
      </c>
      <c r="B27" s="10">
        <f ca="1">'ФИНПЛАН 20-21 '!H33</f>
        <v>700000</v>
      </c>
      <c r="C27" s="9">
        <v>0</v>
      </c>
      <c r="D27" s="10">
        <f t="shared" si="1"/>
        <v>700000</v>
      </c>
      <c r="E27" s="9">
        <v>0</v>
      </c>
      <c r="F27" s="9"/>
    </row>
    <row r="28" spans="1:6">
      <c r="A28" s="9" t="s">
        <v>31</v>
      </c>
      <c r="B28" s="10">
        <f ca="1">'ФИНПЛАН 20-21 '!H34</f>
        <v>210000</v>
      </c>
      <c r="C28" s="9">
        <v>0</v>
      </c>
      <c r="D28" s="10">
        <f t="shared" si="1"/>
        <v>210000</v>
      </c>
      <c r="E28" s="9">
        <v>0</v>
      </c>
      <c r="F28" s="9"/>
    </row>
    <row r="29" spans="1:6">
      <c r="A29" s="9" t="s">
        <v>100</v>
      </c>
      <c r="B29" s="10">
        <f ca="1">'ФИНПЛАН 20-21 '!H35</f>
        <v>150000</v>
      </c>
      <c r="C29" s="9">
        <v>0</v>
      </c>
      <c r="D29" s="10">
        <f t="shared" si="1"/>
        <v>150000</v>
      </c>
      <c r="E29" s="9">
        <v>0</v>
      </c>
      <c r="F29" s="9"/>
    </row>
    <row r="30" spans="1:6">
      <c r="A30" s="9" t="s">
        <v>32</v>
      </c>
      <c r="B30" s="10">
        <f ca="1">'ФИНПЛАН 20-21 '!H36</f>
        <v>1387500</v>
      </c>
      <c r="C30" s="9">
        <v>0</v>
      </c>
      <c r="D30" s="10">
        <f t="shared" si="1"/>
        <v>1387500</v>
      </c>
      <c r="E30" s="9">
        <v>0</v>
      </c>
      <c r="F30" s="9"/>
    </row>
    <row r="31" spans="1:6">
      <c r="A31" s="9" t="s">
        <v>36</v>
      </c>
      <c r="B31" s="10">
        <f ca="1">'ФИНПЛАН 20-21 '!H40</f>
        <v>3000000</v>
      </c>
      <c r="C31" s="9">
        <v>0</v>
      </c>
      <c r="D31" s="10">
        <v>0</v>
      </c>
      <c r="E31" s="10">
        <f>B31</f>
        <v>3000000</v>
      </c>
      <c r="F31" s="9"/>
    </row>
    <row r="32" spans="1:6" hidden="1">
      <c r="A32" s="9"/>
      <c r="B32" s="10"/>
      <c r="C32" s="9">
        <v>0</v>
      </c>
      <c r="D32" s="10">
        <f t="shared" si="1"/>
        <v>0</v>
      </c>
      <c r="E32" s="10">
        <f>B32</f>
        <v>0</v>
      </c>
      <c r="F32" s="9"/>
    </row>
    <row r="33" spans="1:9">
      <c r="A33" s="9" t="s">
        <v>35</v>
      </c>
      <c r="B33" s="10">
        <f ca="1">'ФИНПЛАН 20-21 '!H41</f>
        <v>1200000</v>
      </c>
      <c r="C33" s="9">
        <v>0</v>
      </c>
      <c r="D33" s="10">
        <v>0</v>
      </c>
      <c r="E33" s="10">
        <f>B33</f>
        <v>1200000</v>
      </c>
      <c r="F33" s="9"/>
      <c r="I33" s="5" t="s">
        <v>76</v>
      </c>
    </row>
    <row r="34" spans="1:9">
      <c r="A34" s="9" t="s">
        <v>74</v>
      </c>
      <c r="B34" s="10">
        <f ca="1">'ФИНПЛАН 20-21 '!H42</f>
        <v>1600000</v>
      </c>
      <c r="C34" s="9">
        <v>0</v>
      </c>
      <c r="D34" s="10">
        <v>0</v>
      </c>
      <c r="E34" s="10">
        <f>B34</f>
        <v>1600000</v>
      </c>
      <c r="F34" s="9"/>
    </row>
    <row r="35" spans="1:9" ht="17.25" customHeight="1">
      <c r="A35" s="9" t="s">
        <v>97</v>
      </c>
      <c r="B35" s="10">
        <f ca="1">'ФИНПЛАН 20-21 '!H43</f>
        <v>100000</v>
      </c>
      <c r="C35" s="9">
        <v>0</v>
      </c>
      <c r="D35" s="10">
        <f>B35</f>
        <v>100000</v>
      </c>
      <c r="E35" s="10">
        <v>0</v>
      </c>
      <c r="F35" s="9"/>
    </row>
    <row r="36" spans="1:9" ht="17.25" customHeight="1">
      <c r="A36" s="9" t="s">
        <v>99</v>
      </c>
      <c r="B36" s="10">
        <f ca="1">'ФИНПЛАН 20-21 '!H44</f>
        <v>1440000</v>
      </c>
      <c r="C36" s="10">
        <f>B36</f>
        <v>1440000</v>
      </c>
      <c r="D36" s="10">
        <v>0</v>
      </c>
      <c r="E36" s="10">
        <v>0</v>
      </c>
      <c r="F36" s="9"/>
    </row>
    <row r="37" spans="1:9">
      <c r="A37" s="9" t="s">
        <v>75</v>
      </c>
      <c r="B37" s="10">
        <f ca="1">'ФИНПЛАН 20-21 '!H45</f>
        <v>200000</v>
      </c>
      <c r="C37" s="10">
        <f>B37</f>
        <v>200000</v>
      </c>
      <c r="D37" s="10">
        <v>0</v>
      </c>
      <c r="E37" s="10">
        <v>0</v>
      </c>
      <c r="F37" s="9"/>
    </row>
    <row r="38" spans="1:9">
      <c r="A38" s="11" t="s">
        <v>43</v>
      </c>
      <c r="B38" s="12">
        <f ca="1">SUM(B11:B37)</f>
        <v>36677500</v>
      </c>
      <c r="C38" s="12">
        <f>SUM(C11:C37)</f>
        <v>8450000</v>
      </c>
      <c r="D38" s="12">
        <f>SUM(D11:D37)</f>
        <v>17227500</v>
      </c>
      <c r="E38" s="12">
        <f>SUM(E11:E37)</f>
        <v>6100000</v>
      </c>
      <c r="F38" s="12">
        <f>SUM(F11:F37)</f>
        <v>4900000</v>
      </c>
    </row>
    <row r="39" spans="1:9">
      <c r="A39" s="8" t="s">
        <v>49</v>
      </c>
      <c r="B39" s="10">
        <f ca="1">'ФИНПЛАН 20-21 '!H6+'ФИНПЛАН 20-21 '!H7</f>
        <v>990000</v>
      </c>
      <c r="C39" s="7"/>
      <c r="D39" s="7"/>
      <c r="E39" s="7"/>
    </row>
    <row r="40" spans="1:9">
      <c r="A40" s="8" t="s">
        <v>46</v>
      </c>
      <c r="B40" s="10">
        <f ca="1">'ФИНПЛАН 20-21 '!H4</f>
        <v>2400000</v>
      </c>
    </row>
    <row r="41" spans="1:9">
      <c r="A41" s="11" t="s">
        <v>54</v>
      </c>
      <c r="B41" s="12">
        <f>B38-B39-B40</f>
        <v>33287500</v>
      </c>
      <c r="C41" s="12">
        <f>C38*B41/B38</f>
        <v>7668989.8439097535</v>
      </c>
      <c r="D41" s="12">
        <f>D38*B41/B38</f>
        <v>15635209.767568672</v>
      </c>
      <c r="E41" s="12">
        <f>E38*B41/B38</f>
        <v>5536193.8518165089</v>
      </c>
      <c r="F41" s="12">
        <f>F38*C41/C38</f>
        <v>4447106.5367050637</v>
      </c>
    </row>
    <row r="42" spans="1:9" ht="34.5">
      <c r="A42" s="8" t="s">
        <v>93</v>
      </c>
      <c r="B42" s="9"/>
      <c r="C42" s="9">
        <f>B5-B6</f>
        <v>6816.2599999999993</v>
      </c>
      <c r="D42" s="9"/>
      <c r="E42" s="9"/>
      <c r="F42" s="9"/>
    </row>
    <row r="43" spans="1:9" ht="34.5">
      <c r="A43" s="8" t="s">
        <v>84</v>
      </c>
      <c r="B43" s="9"/>
      <c r="C43" s="10">
        <f>C41/(C42*12)</f>
        <v>93.758525495283266</v>
      </c>
      <c r="D43" s="9"/>
      <c r="E43" s="9"/>
      <c r="F43" s="9"/>
    </row>
    <row r="44" spans="1:9" ht="34.5">
      <c r="A44" s="8" t="s">
        <v>82</v>
      </c>
      <c r="B44" s="9"/>
      <c r="C44" s="9"/>
      <c r="D44" s="9">
        <f>B5-B6-B7</f>
        <v>6553.4099999999989</v>
      </c>
      <c r="E44" s="9"/>
      <c r="F44" s="9"/>
    </row>
    <row r="45" spans="1:9" ht="34.5">
      <c r="A45" s="8" t="s">
        <v>94</v>
      </c>
      <c r="B45" s="9"/>
      <c r="C45" s="9"/>
      <c r="D45" s="10">
        <f>D41/(D44*12)</f>
        <v>198.81773722342865</v>
      </c>
      <c r="E45" s="9"/>
      <c r="F45" s="9"/>
    </row>
    <row r="46" spans="1:9" ht="34.5">
      <c r="A46" s="8" t="s">
        <v>85</v>
      </c>
      <c r="B46" s="9"/>
      <c r="C46" s="9"/>
      <c r="D46" s="9"/>
      <c r="E46" s="9">
        <f>B5-B6-B8</f>
        <v>6553.0099999999993</v>
      </c>
      <c r="F46" s="9"/>
    </row>
    <row r="47" spans="1:9">
      <c r="A47" s="8" t="s">
        <v>86</v>
      </c>
      <c r="B47" s="9"/>
      <c r="C47" s="9"/>
      <c r="D47" s="9"/>
      <c r="E47" s="10">
        <f>E41/(E46*12)</f>
        <v>70.40268329384142</v>
      </c>
      <c r="F47" s="9"/>
    </row>
    <row r="48" spans="1:9" ht="34.5">
      <c r="A48" s="8" t="s">
        <v>87</v>
      </c>
      <c r="B48" s="9"/>
      <c r="C48" s="9"/>
      <c r="D48" s="9"/>
      <c r="E48" s="10"/>
      <c r="F48" s="9">
        <f>B5-B6-B7-B8</f>
        <v>6290.1599999999989</v>
      </c>
    </row>
    <row r="49" spans="1:6">
      <c r="A49" s="8" t="s">
        <v>95</v>
      </c>
      <c r="B49" s="9"/>
      <c r="C49" s="9"/>
      <c r="D49" s="9"/>
      <c r="E49" s="10"/>
      <c r="F49" s="10">
        <f>F41/(F48*12)</f>
        <v>58.916182003651535</v>
      </c>
    </row>
    <row r="50" spans="1:6" ht="20.25" customHeight="1">
      <c r="A50" s="11" t="s">
        <v>77</v>
      </c>
      <c r="B50" s="9"/>
      <c r="C50" s="12"/>
      <c r="D50" s="13"/>
      <c r="E50" s="12">
        <f>C43+E47</f>
        <v>164.16120878912469</v>
      </c>
      <c r="F50" s="9"/>
    </row>
    <row r="51" spans="1:6">
      <c r="A51" s="11" t="s">
        <v>71</v>
      </c>
      <c r="B51" s="9"/>
      <c r="C51" s="13"/>
      <c r="D51" s="12">
        <f>C43+D45</f>
        <v>292.57626271871192</v>
      </c>
      <c r="E51" s="13"/>
      <c r="F51" s="9"/>
    </row>
    <row r="52" spans="1:6">
      <c r="A52" s="11" t="s">
        <v>72</v>
      </c>
      <c r="B52" s="9"/>
      <c r="C52" s="13"/>
      <c r="D52" s="13"/>
      <c r="E52" s="12"/>
      <c r="F52" s="12">
        <f>C43+D45+E47+F49</f>
        <v>421.89512801620492</v>
      </c>
    </row>
    <row r="54" spans="1:6">
      <c r="A54" s="5" t="s">
        <v>91</v>
      </c>
    </row>
  </sheetData>
  <phoneticPr fontId="7" type="noConversion"/>
  <pageMargins left="0.2" right="0.18" top="0.44" bottom="0.18" header="0.19" footer="0.17"/>
  <pageSetup paperSize="9" scale="37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>
      <selection activeCell="H60" sqref="H60"/>
    </sheetView>
  </sheetViews>
  <sheetFormatPr defaultRowHeight="15"/>
  <cols>
    <col min="1" max="1" width="25.140625" customWidth="1"/>
    <col min="2" max="2" width="32.28515625" customWidth="1"/>
    <col min="3" max="3" width="16.28515625" customWidth="1"/>
    <col min="4" max="4" width="17.7109375" customWidth="1"/>
  </cols>
  <sheetData>
    <row r="1" spans="1:4">
      <c r="A1" s="2" t="s">
        <v>78</v>
      </c>
    </row>
    <row r="2" spans="1:4" ht="15.75" thickBot="1"/>
    <row r="3" spans="1:4" ht="30.75" thickBot="1">
      <c r="A3" s="20" t="s">
        <v>55</v>
      </c>
      <c r="B3" s="78" t="s">
        <v>56</v>
      </c>
      <c r="C3" s="81" t="s">
        <v>101</v>
      </c>
      <c r="D3" s="81" t="s">
        <v>102</v>
      </c>
    </row>
    <row r="4" spans="1:4" ht="15.75" thickBot="1">
      <c r="A4" s="17">
        <v>4.05</v>
      </c>
      <c r="B4" s="79">
        <f ca="1">ROUND('Расчет взносов'!$F$52*'Размер взносов по участкам'!A4,-1)</f>
        <v>1710</v>
      </c>
      <c r="C4" s="82">
        <v>40</v>
      </c>
      <c r="D4" s="82">
        <f>ROUND(B4+A4*C4,-1)</f>
        <v>1870</v>
      </c>
    </row>
    <row r="5" spans="1:4" ht="15.75" thickBot="1">
      <c r="A5" s="17">
        <v>5</v>
      </c>
      <c r="B5" s="79">
        <f ca="1">ROUND('Расчет взносов'!$F$52*'Размер взносов по участкам'!A5,-1)</f>
        <v>2110</v>
      </c>
      <c r="C5" s="82">
        <v>40</v>
      </c>
      <c r="D5" s="82">
        <f t="shared" ref="D5:D68" si="0">ROUND(B5+A5*C5,-1)</f>
        <v>2310</v>
      </c>
    </row>
    <row r="6" spans="1:4" ht="15.75" thickBot="1">
      <c r="A6" s="17">
        <v>5.15</v>
      </c>
      <c r="B6" s="79">
        <f ca="1">ROUND('Расчет взносов'!$F$52*'Размер взносов по участкам'!A6,-1)</f>
        <v>2170</v>
      </c>
      <c r="C6" s="82">
        <v>40</v>
      </c>
      <c r="D6" s="82">
        <f t="shared" si="0"/>
        <v>2380</v>
      </c>
    </row>
    <row r="7" spans="1:4" ht="15.75" thickBot="1">
      <c r="A7" s="17">
        <v>5.8</v>
      </c>
      <c r="B7" s="79">
        <f ca="1">ROUND('Расчет взносов'!$F$52*'Размер взносов по участкам'!A7,-1)</f>
        <v>2450</v>
      </c>
      <c r="C7" s="82">
        <v>40</v>
      </c>
      <c r="D7" s="82">
        <f t="shared" si="0"/>
        <v>2680</v>
      </c>
    </row>
    <row r="8" spans="1:4" ht="15.75" thickBot="1">
      <c r="A8" s="17">
        <v>6.8</v>
      </c>
      <c r="B8" s="79">
        <f ca="1">ROUND('Расчет взносов'!$F$52*'Размер взносов по участкам'!A8,-1)</f>
        <v>2870</v>
      </c>
      <c r="C8" s="82">
        <v>40</v>
      </c>
      <c r="D8" s="82">
        <f t="shared" si="0"/>
        <v>3140</v>
      </c>
    </row>
    <row r="9" spans="1:4" ht="15.75" thickBot="1">
      <c r="A9" s="17">
        <v>7.35</v>
      </c>
      <c r="B9" s="79">
        <f ca="1">ROUND('Расчет взносов'!$F$52*'Размер взносов по участкам'!A9,-1)</f>
        <v>3100</v>
      </c>
      <c r="C9" s="82">
        <v>40</v>
      </c>
      <c r="D9" s="82">
        <f t="shared" si="0"/>
        <v>3390</v>
      </c>
    </row>
    <row r="10" spans="1:4" ht="15.75" thickBot="1">
      <c r="A10" s="17">
        <v>7.5</v>
      </c>
      <c r="B10" s="79">
        <f ca="1">ROUND('Расчет взносов'!$F$52*'Размер взносов по участкам'!A10,-1)</f>
        <v>3160</v>
      </c>
      <c r="C10" s="82">
        <v>40</v>
      </c>
      <c r="D10" s="82">
        <f t="shared" si="0"/>
        <v>3460</v>
      </c>
    </row>
    <row r="11" spans="1:4" ht="15.75" thickBot="1">
      <c r="A11" s="17">
        <v>8</v>
      </c>
      <c r="B11" s="79">
        <f ca="1">ROUND('Расчет взносов'!$F$52*'Размер взносов по участкам'!A11,-1)</f>
        <v>3380</v>
      </c>
      <c r="C11" s="82">
        <v>40</v>
      </c>
      <c r="D11" s="82">
        <f t="shared" si="0"/>
        <v>3700</v>
      </c>
    </row>
    <row r="12" spans="1:4" ht="15.75" thickBot="1">
      <c r="A12" s="17">
        <v>8.6</v>
      </c>
      <c r="B12" s="79">
        <f ca="1">ROUND('Расчет взносов'!$F$52*'Размер взносов по участкам'!A12,-1)</f>
        <v>3630</v>
      </c>
      <c r="C12" s="82">
        <v>40</v>
      </c>
      <c r="D12" s="82">
        <f t="shared" si="0"/>
        <v>3970</v>
      </c>
    </row>
    <row r="13" spans="1:4" ht="15.75" thickBot="1">
      <c r="A13" s="17">
        <v>9.82</v>
      </c>
      <c r="B13" s="79">
        <f ca="1">ROUND('Расчет взносов'!$F$52*'Размер взносов по участкам'!A13,-1)</f>
        <v>4140</v>
      </c>
      <c r="C13" s="82">
        <v>40</v>
      </c>
      <c r="D13" s="82">
        <f t="shared" si="0"/>
        <v>4530</v>
      </c>
    </row>
    <row r="14" spans="1:4" ht="15.75" thickBot="1">
      <c r="A14" s="17">
        <v>10</v>
      </c>
      <c r="B14" s="79">
        <f ca="1">ROUND('Расчет взносов'!$F$52*'Размер взносов по участкам'!A14,-1)</f>
        <v>4220</v>
      </c>
      <c r="C14" s="82">
        <v>40</v>
      </c>
      <c r="D14" s="82">
        <f t="shared" si="0"/>
        <v>4620</v>
      </c>
    </row>
    <row r="15" spans="1:4" ht="15.75" thickBot="1">
      <c r="A15" s="17">
        <v>11</v>
      </c>
      <c r="B15" s="79">
        <f ca="1">ROUND('Расчет взносов'!$F$52*'Размер взносов по участкам'!A15,-1)</f>
        <v>4640</v>
      </c>
      <c r="C15" s="82">
        <v>40</v>
      </c>
      <c r="D15" s="82">
        <f t="shared" si="0"/>
        <v>5080</v>
      </c>
    </row>
    <row r="16" spans="1:4" ht="15.75" thickBot="1">
      <c r="A16" s="17">
        <v>11.2</v>
      </c>
      <c r="B16" s="79">
        <f ca="1">ROUND('Расчет взносов'!$F$52*'Размер взносов по участкам'!A16,-1)</f>
        <v>4730</v>
      </c>
      <c r="C16" s="82">
        <v>40</v>
      </c>
      <c r="D16" s="82">
        <f t="shared" si="0"/>
        <v>5180</v>
      </c>
    </row>
    <row r="17" spans="1:6" ht="15.75" thickBot="1">
      <c r="A17" s="17">
        <v>11.5</v>
      </c>
      <c r="B17" s="79">
        <f ca="1">ROUND('Расчет взносов'!$F$52*'Размер взносов по участкам'!A17,-1)</f>
        <v>4850</v>
      </c>
      <c r="C17" s="82">
        <v>40</v>
      </c>
      <c r="D17" s="82">
        <f t="shared" si="0"/>
        <v>5310</v>
      </c>
    </row>
    <row r="18" spans="1:6" ht="15.75" thickBot="1">
      <c r="A18" s="17">
        <v>12</v>
      </c>
      <c r="B18" s="79">
        <f ca="1">ROUND('Расчет взносов'!$F$52*'Размер взносов по участкам'!A18,-1)</f>
        <v>5060</v>
      </c>
      <c r="C18" s="82">
        <v>40</v>
      </c>
      <c r="D18" s="82">
        <f t="shared" si="0"/>
        <v>5540</v>
      </c>
      <c r="F18" t="s">
        <v>73</v>
      </c>
    </row>
    <row r="19" spans="1:6" ht="15.75" thickBot="1">
      <c r="A19" s="17">
        <v>12.75</v>
      </c>
      <c r="B19" s="79">
        <f ca="1">ROUND('Расчет взносов'!$F$52*'Размер взносов по участкам'!A19,-1)</f>
        <v>5380</v>
      </c>
      <c r="C19" s="82">
        <v>40</v>
      </c>
      <c r="D19" s="82">
        <f t="shared" si="0"/>
        <v>5890</v>
      </c>
    </row>
    <row r="20" spans="1:6" ht="15.75" thickBot="1">
      <c r="A20" s="17">
        <v>12.9</v>
      </c>
      <c r="B20" s="79">
        <f ca="1">ROUND('Расчет взносов'!$F$52*'Размер взносов по участкам'!A20,-1)</f>
        <v>5440</v>
      </c>
      <c r="C20" s="82">
        <v>40</v>
      </c>
      <c r="D20" s="82">
        <f t="shared" si="0"/>
        <v>5960</v>
      </c>
    </row>
    <row r="21" spans="1:6" ht="15.75" thickBot="1">
      <c r="A21" s="17">
        <v>13</v>
      </c>
      <c r="B21" s="79">
        <f ca="1">ROUND('Расчет взносов'!$F$52*'Размер взносов по участкам'!A21,-1)</f>
        <v>5480</v>
      </c>
      <c r="C21" s="82">
        <v>40</v>
      </c>
      <c r="D21" s="82">
        <f t="shared" si="0"/>
        <v>6000</v>
      </c>
    </row>
    <row r="22" spans="1:6" ht="15.75" thickBot="1">
      <c r="A22" s="17">
        <v>14.25</v>
      </c>
      <c r="B22" s="79">
        <f ca="1">ROUND('Расчет взносов'!$F$52*'Размер взносов по участкам'!A22,-1)</f>
        <v>6010</v>
      </c>
      <c r="C22" s="82">
        <v>40</v>
      </c>
      <c r="D22" s="82">
        <f t="shared" si="0"/>
        <v>6580</v>
      </c>
    </row>
    <row r="23" spans="1:6" ht="15.75" thickBot="1">
      <c r="A23" s="17">
        <v>15</v>
      </c>
      <c r="B23" s="79">
        <f ca="1">ROUND('Расчет взносов'!$F$52*'Размер взносов по участкам'!A23,-1)</f>
        <v>6330</v>
      </c>
      <c r="C23" s="82">
        <v>40</v>
      </c>
      <c r="D23" s="82">
        <f t="shared" si="0"/>
        <v>6930</v>
      </c>
    </row>
    <row r="24" spans="1:6" ht="15.75" thickBot="1">
      <c r="A24" s="17">
        <v>15.05</v>
      </c>
      <c r="B24" s="79">
        <f ca="1">ROUND('Расчет взносов'!$F$52*'Размер взносов по участкам'!A24,-1)</f>
        <v>6350</v>
      </c>
      <c r="C24" s="82">
        <v>40</v>
      </c>
      <c r="D24" s="82">
        <f t="shared" si="0"/>
        <v>6950</v>
      </c>
    </row>
    <row r="25" spans="1:6" ht="15.75" thickBot="1">
      <c r="A25" s="17">
        <v>15.3</v>
      </c>
      <c r="B25" s="79">
        <f ca="1">ROUND('Расчет взносов'!$F$52*'Размер взносов по участкам'!A25,-1)</f>
        <v>6450</v>
      </c>
      <c r="C25" s="82">
        <v>40</v>
      </c>
      <c r="D25" s="82">
        <f t="shared" si="0"/>
        <v>7060</v>
      </c>
    </row>
    <row r="26" spans="1:6" ht="15.75" thickBot="1">
      <c r="A26" s="17">
        <v>15.4</v>
      </c>
      <c r="B26" s="79">
        <f ca="1">ROUND('Расчет взносов'!$F$52*'Размер взносов по участкам'!A26,-1)</f>
        <v>6500</v>
      </c>
      <c r="C26" s="82">
        <v>40</v>
      </c>
      <c r="D26" s="82">
        <f t="shared" si="0"/>
        <v>7120</v>
      </c>
    </row>
    <row r="27" spans="1:6" ht="15.75" thickBot="1">
      <c r="A27" s="17">
        <v>15.47</v>
      </c>
      <c r="B27" s="79">
        <f ca="1">ROUND('Расчет взносов'!$F$52*'Размер взносов по участкам'!A27,-1)</f>
        <v>6530</v>
      </c>
      <c r="C27" s="82">
        <v>40</v>
      </c>
      <c r="D27" s="82">
        <f t="shared" si="0"/>
        <v>7150</v>
      </c>
    </row>
    <row r="28" spans="1:6" ht="15.75" thickBot="1">
      <c r="A28" s="17">
        <v>15.7</v>
      </c>
      <c r="B28" s="79">
        <f ca="1">ROUND('Расчет взносов'!$F$52*'Размер взносов по участкам'!A28,-1)</f>
        <v>6620</v>
      </c>
      <c r="C28" s="82">
        <v>40</v>
      </c>
      <c r="D28" s="82">
        <f t="shared" si="0"/>
        <v>7250</v>
      </c>
    </row>
    <row r="29" spans="1:6" ht="15.75" thickBot="1">
      <c r="A29" s="17">
        <v>15.75</v>
      </c>
      <c r="B29" s="79">
        <f ca="1">ROUND('Расчет взносов'!$F$52*'Размер взносов по участкам'!A29,-1)</f>
        <v>6640</v>
      </c>
      <c r="C29" s="82">
        <v>40</v>
      </c>
      <c r="D29" s="82">
        <f t="shared" si="0"/>
        <v>7270</v>
      </c>
    </row>
    <row r="30" spans="1:6" ht="15.75" thickBot="1">
      <c r="A30" s="17">
        <v>16.2</v>
      </c>
      <c r="B30" s="79">
        <f ca="1">ROUND('Расчет взносов'!$F$52*'Размер взносов по участкам'!A30,-1)</f>
        <v>6830</v>
      </c>
      <c r="C30" s="82">
        <v>40</v>
      </c>
      <c r="D30" s="82">
        <f t="shared" si="0"/>
        <v>7480</v>
      </c>
    </row>
    <row r="31" spans="1:6" ht="15.75" thickBot="1">
      <c r="A31" s="17">
        <v>17.5</v>
      </c>
      <c r="B31" s="79">
        <f ca="1">ROUND('Расчет взносов'!$F$52*'Размер взносов по участкам'!A31,-1)</f>
        <v>7380</v>
      </c>
      <c r="C31" s="82">
        <v>40</v>
      </c>
      <c r="D31" s="82">
        <f t="shared" si="0"/>
        <v>8080</v>
      </c>
    </row>
    <row r="32" spans="1:6" ht="15.75" thickBot="1">
      <c r="A32" s="17">
        <v>18</v>
      </c>
      <c r="B32" s="79">
        <f ca="1">ROUND('Расчет взносов'!$F$52*'Размер взносов по участкам'!A32,-1)</f>
        <v>7590</v>
      </c>
      <c r="C32" s="82">
        <v>40</v>
      </c>
      <c r="D32" s="82">
        <f t="shared" si="0"/>
        <v>8310</v>
      </c>
    </row>
    <row r="33" spans="1:10" ht="15.75" thickBot="1">
      <c r="A33" s="17">
        <v>18.2</v>
      </c>
      <c r="B33" s="79">
        <f ca="1">ROUND('Расчет взносов'!$F$52*'Размер взносов по участкам'!A33,-1)</f>
        <v>7680</v>
      </c>
      <c r="C33" s="82">
        <v>40</v>
      </c>
      <c r="D33" s="82">
        <f t="shared" si="0"/>
        <v>8410</v>
      </c>
    </row>
    <row r="34" spans="1:10" ht="15.75" thickBot="1">
      <c r="A34" s="17">
        <v>18.5</v>
      </c>
      <c r="B34" s="79">
        <f ca="1">ROUND('Расчет взносов'!$F$52*'Размер взносов по участкам'!A34,-1)</f>
        <v>7810</v>
      </c>
      <c r="C34" s="82">
        <v>40</v>
      </c>
      <c r="D34" s="82">
        <f t="shared" si="0"/>
        <v>8550</v>
      </c>
    </row>
    <row r="35" spans="1:10" ht="15.75" thickBot="1">
      <c r="A35" s="17">
        <v>19.600000000000001</v>
      </c>
      <c r="B35" s="79">
        <f ca="1">ROUND('Расчет взносов'!$F$52*'Размер взносов по участкам'!A35,-1)</f>
        <v>8270</v>
      </c>
      <c r="C35" s="82">
        <v>40</v>
      </c>
      <c r="D35" s="82">
        <f t="shared" si="0"/>
        <v>9050</v>
      </c>
    </row>
    <row r="36" spans="1:10" ht="15.75" thickBot="1">
      <c r="A36" s="17">
        <v>20</v>
      </c>
      <c r="B36" s="79">
        <f ca="1">ROUND('Расчет взносов'!$F$52*'Размер взносов по участкам'!A36,-1)</f>
        <v>8440</v>
      </c>
      <c r="C36" s="82">
        <v>40</v>
      </c>
      <c r="D36" s="82">
        <f t="shared" si="0"/>
        <v>9240</v>
      </c>
    </row>
    <row r="37" spans="1:10" ht="15.75" thickBot="1">
      <c r="A37" s="17">
        <v>21</v>
      </c>
      <c r="B37" s="79">
        <f ca="1">ROUND('Расчет взносов'!$F$52*'Размер взносов по участкам'!A37,-1)</f>
        <v>8860</v>
      </c>
      <c r="C37" s="82">
        <v>40</v>
      </c>
      <c r="D37" s="82">
        <f t="shared" si="0"/>
        <v>9700</v>
      </c>
    </row>
    <row r="38" spans="1:10" ht="15.75" thickBot="1">
      <c r="A38" s="17">
        <v>22.5</v>
      </c>
      <c r="B38" s="79">
        <f ca="1">ROUND('Расчет взносов'!$F$52*'Размер взносов по участкам'!A38,-1)</f>
        <v>9490</v>
      </c>
      <c r="C38" s="82">
        <v>40</v>
      </c>
      <c r="D38" s="82">
        <f t="shared" si="0"/>
        <v>10390</v>
      </c>
    </row>
    <row r="39" spans="1:10" ht="15.75" thickBot="1">
      <c r="A39" s="17">
        <v>23.76</v>
      </c>
      <c r="B39" s="79">
        <f ca="1">ROUND('Расчет взносов'!$F$52*'Размер взносов по участкам'!A39,-1)</f>
        <v>10020</v>
      </c>
      <c r="C39" s="82">
        <v>40</v>
      </c>
      <c r="D39" s="82">
        <f t="shared" si="0"/>
        <v>10970</v>
      </c>
    </row>
    <row r="40" spans="1:10" ht="15.75" thickBot="1">
      <c r="A40" s="17">
        <v>25</v>
      </c>
      <c r="B40" s="79">
        <f ca="1">ROUND('Расчет взносов'!$F$52*'Размер взносов по участкам'!A40,-1)</f>
        <v>10550</v>
      </c>
      <c r="C40" s="82">
        <v>40</v>
      </c>
      <c r="D40" s="82">
        <f t="shared" si="0"/>
        <v>11550</v>
      </c>
    </row>
    <row r="41" spans="1:10" ht="15.75" thickBot="1">
      <c r="A41" s="17">
        <v>25.35</v>
      </c>
      <c r="B41" s="79">
        <f ca="1">ROUND('Расчет взносов'!$F$52*'Размер взносов по участкам'!A41,-1)</f>
        <v>10700</v>
      </c>
      <c r="C41" s="82">
        <v>40</v>
      </c>
      <c r="D41" s="82">
        <f t="shared" si="0"/>
        <v>11710</v>
      </c>
    </row>
    <row r="42" spans="1:10" ht="15.75" thickBot="1">
      <c r="A42" s="17">
        <v>25.9</v>
      </c>
      <c r="B42" s="79">
        <f ca="1">ROUND('Расчет взносов'!$F$52*'Размер взносов по участкам'!A42,-1)</f>
        <v>10930</v>
      </c>
      <c r="C42" s="82">
        <v>40</v>
      </c>
      <c r="D42" s="82">
        <f t="shared" si="0"/>
        <v>11970</v>
      </c>
    </row>
    <row r="43" spans="1:10" ht="15.75" thickBot="1">
      <c r="A43" s="17">
        <v>26.1</v>
      </c>
      <c r="B43" s="79">
        <f ca="1">ROUND('Расчет взносов'!$F$52*'Размер взносов по участкам'!A43,-1)</f>
        <v>11010</v>
      </c>
      <c r="C43" s="82">
        <v>40</v>
      </c>
      <c r="D43" s="82">
        <f t="shared" si="0"/>
        <v>12050</v>
      </c>
    </row>
    <row r="44" spans="1:10" ht="15.75" thickBot="1">
      <c r="A44" s="17">
        <v>28</v>
      </c>
      <c r="B44" s="79">
        <f ca="1">ROUND('Расчет взносов'!$F$52*'Размер взносов по участкам'!A44,-1)</f>
        <v>11810</v>
      </c>
      <c r="C44" s="82">
        <v>40</v>
      </c>
      <c r="D44" s="82">
        <f t="shared" si="0"/>
        <v>12930</v>
      </c>
    </row>
    <row r="45" spans="1:10" ht="15.75" thickBot="1">
      <c r="A45" s="17">
        <v>28.3</v>
      </c>
      <c r="B45" s="79">
        <f ca="1">ROUND('Расчет взносов'!$F$52*'Размер взносов по участкам'!A45,-1)</f>
        <v>11940</v>
      </c>
      <c r="C45" s="82">
        <v>40</v>
      </c>
      <c r="D45" s="82">
        <f t="shared" si="0"/>
        <v>13070</v>
      </c>
    </row>
    <row r="46" spans="1:10" ht="15.75" thickBot="1">
      <c r="A46" s="17">
        <v>28.64</v>
      </c>
      <c r="B46" s="79">
        <f ca="1">ROUND('Расчет взносов'!$F$52*'Размер взносов по участкам'!A46,-1)</f>
        <v>12080</v>
      </c>
      <c r="C46" s="82">
        <v>40</v>
      </c>
      <c r="D46" s="82">
        <f t="shared" si="0"/>
        <v>13230</v>
      </c>
    </row>
    <row r="47" spans="1:10" ht="15.75" thickBot="1">
      <c r="A47" s="17">
        <v>29.5</v>
      </c>
      <c r="B47" s="79">
        <f ca="1">ROUND('Расчет взносов'!$F$52*'Размер взносов по участкам'!A47,-1)</f>
        <v>12450</v>
      </c>
      <c r="C47" s="82">
        <v>40</v>
      </c>
      <c r="D47" s="82">
        <f t="shared" si="0"/>
        <v>13630</v>
      </c>
      <c r="J47" t="s">
        <v>92</v>
      </c>
    </row>
    <row r="48" spans="1:10" ht="15.75" thickBot="1">
      <c r="A48" s="17">
        <v>30</v>
      </c>
      <c r="B48" s="79">
        <f ca="1">ROUND('Расчет взносов'!$F$52*'Размер взносов по участкам'!A48,-1)</f>
        <v>12660</v>
      </c>
      <c r="C48" s="82">
        <v>40</v>
      </c>
      <c r="D48" s="82">
        <f t="shared" si="0"/>
        <v>13860</v>
      </c>
    </row>
    <row r="49" spans="1:4" ht="15.75" thickBot="1">
      <c r="A49" s="17">
        <v>30.09</v>
      </c>
      <c r="B49" s="79">
        <f ca="1">ROUND('Расчет взносов'!$F$52*'Размер взносов по участкам'!A49,-1)</f>
        <v>12690</v>
      </c>
      <c r="C49" s="82">
        <v>40</v>
      </c>
      <c r="D49" s="82">
        <f t="shared" si="0"/>
        <v>13890</v>
      </c>
    </row>
    <row r="50" spans="1:4" ht="15.75" thickBot="1">
      <c r="A50" s="17">
        <v>30.7</v>
      </c>
      <c r="B50" s="79">
        <f ca="1">ROUND('Расчет взносов'!$F$52*'Размер взносов по участкам'!A50,-1)</f>
        <v>12950</v>
      </c>
      <c r="C50" s="82">
        <v>40</v>
      </c>
      <c r="D50" s="82">
        <f t="shared" si="0"/>
        <v>14180</v>
      </c>
    </row>
    <row r="51" spans="1:4" ht="15.75" thickBot="1">
      <c r="A51" s="17">
        <v>32</v>
      </c>
      <c r="B51" s="79">
        <f ca="1">ROUND('Расчет взносов'!$F$52*'Размер взносов по участкам'!A51,-1)</f>
        <v>13500</v>
      </c>
      <c r="C51" s="82">
        <v>40</v>
      </c>
      <c r="D51" s="82">
        <f t="shared" si="0"/>
        <v>14780</v>
      </c>
    </row>
    <row r="52" spans="1:4" ht="15.75" thickBot="1">
      <c r="A52" s="17">
        <v>35</v>
      </c>
      <c r="B52" s="79">
        <f ca="1">ROUND('Расчет взносов'!$F$52*'Размер взносов по участкам'!A52,-1)</f>
        <v>14770</v>
      </c>
      <c r="C52" s="82">
        <v>40</v>
      </c>
      <c r="D52" s="82">
        <f t="shared" si="0"/>
        <v>16170</v>
      </c>
    </row>
    <row r="53" spans="1:4" ht="15.75" thickBot="1">
      <c r="A53" s="17">
        <v>36</v>
      </c>
      <c r="B53" s="79">
        <f ca="1">ROUND('Расчет взносов'!$F$52*'Размер взносов по участкам'!A53,-1)</f>
        <v>15190</v>
      </c>
      <c r="C53" s="82">
        <v>40</v>
      </c>
      <c r="D53" s="82">
        <f t="shared" si="0"/>
        <v>16630</v>
      </c>
    </row>
    <row r="54" spans="1:4" ht="15.75" thickBot="1">
      <c r="A54" s="17">
        <v>39.200000000000003</v>
      </c>
      <c r="B54" s="79">
        <f ca="1">ROUND('Расчет взносов'!$F$52*'Размер взносов по участкам'!A54,-1)</f>
        <v>16540</v>
      </c>
      <c r="C54" s="82">
        <v>40</v>
      </c>
      <c r="D54" s="82">
        <f t="shared" si="0"/>
        <v>18110</v>
      </c>
    </row>
    <row r="55" spans="1:4" ht="15.75" thickBot="1">
      <c r="A55" s="17">
        <v>40</v>
      </c>
      <c r="B55" s="79">
        <f ca="1">ROUND('Расчет взносов'!$F$52*'Размер взносов по участкам'!A55,-1)</f>
        <v>16880</v>
      </c>
      <c r="C55" s="82">
        <v>40</v>
      </c>
      <c r="D55" s="82">
        <f t="shared" si="0"/>
        <v>18480</v>
      </c>
    </row>
    <row r="56" spans="1:4" ht="15.75" thickBot="1">
      <c r="A56" s="17">
        <v>41</v>
      </c>
      <c r="B56" s="79">
        <f ca="1">ROUND('Расчет взносов'!$F$52*'Размер взносов по участкам'!A56,-1)</f>
        <v>17300</v>
      </c>
      <c r="C56" s="82">
        <v>40</v>
      </c>
      <c r="D56" s="82">
        <f t="shared" si="0"/>
        <v>18940</v>
      </c>
    </row>
    <row r="57" spans="1:4" ht="15.75" thickBot="1">
      <c r="A57" s="17">
        <v>41.75</v>
      </c>
      <c r="B57" s="79">
        <f ca="1">ROUND('Расчет взносов'!$F$52*'Размер взносов по участкам'!A57,-1)</f>
        <v>17610</v>
      </c>
      <c r="C57" s="82">
        <v>40</v>
      </c>
      <c r="D57" s="82">
        <f t="shared" si="0"/>
        <v>19280</v>
      </c>
    </row>
    <row r="58" spans="1:4" ht="15.75" thickBot="1">
      <c r="A58" s="17">
        <v>42.6</v>
      </c>
      <c r="B58" s="79">
        <f ca="1">ROUND('Расчет взносов'!$F$52*'Размер взносов по участкам'!A58,-1)</f>
        <v>17970</v>
      </c>
      <c r="C58" s="82">
        <v>40</v>
      </c>
      <c r="D58" s="82">
        <f t="shared" si="0"/>
        <v>19670</v>
      </c>
    </row>
    <row r="59" spans="1:4" ht="15.75" thickBot="1">
      <c r="A59" s="17">
        <v>45</v>
      </c>
      <c r="B59" s="79">
        <f ca="1">ROUND('Расчет взносов'!$F$52*'Размер взносов по участкам'!A59,-1)</f>
        <v>18990</v>
      </c>
      <c r="C59" s="82">
        <v>40</v>
      </c>
      <c r="D59" s="82">
        <f t="shared" si="0"/>
        <v>20790</v>
      </c>
    </row>
    <row r="60" spans="1:4" ht="15.75" thickBot="1">
      <c r="A60" s="17">
        <v>47.55</v>
      </c>
      <c r="B60" s="79">
        <f ca="1">ROUND('Расчет взносов'!$F$52*'Размер взносов по участкам'!A60,-1)</f>
        <v>20060</v>
      </c>
      <c r="C60" s="82">
        <v>40</v>
      </c>
      <c r="D60" s="82">
        <f t="shared" si="0"/>
        <v>21960</v>
      </c>
    </row>
    <row r="61" spans="1:4" ht="15.75" thickBot="1">
      <c r="A61" s="17">
        <v>49.7</v>
      </c>
      <c r="B61" s="79">
        <f ca="1">ROUND('Расчет взносов'!$F$52*'Размер взносов по участкам'!A61,-1)</f>
        <v>20970</v>
      </c>
      <c r="C61" s="82">
        <v>40</v>
      </c>
      <c r="D61" s="82">
        <f t="shared" si="0"/>
        <v>22960</v>
      </c>
    </row>
    <row r="62" spans="1:4" ht="15.75" thickBot="1">
      <c r="A62" s="17">
        <v>52.6</v>
      </c>
      <c r="B62" s="79">
        <f ca="1">ROUND('Расчет взносов'!$F$52*'Размер взносов по участкам'!A62,-1)</f>
        <v>22190</v>
      </c>
      <c r="C62" s="82">
        <v>40</v>
      </c>
      <c r="D62" s="82">
        <f t="shared" si="0"/>
        <v>24290</v>
      </c>
    </row>
    <row r="63" spans="1:4" ht="15.75" thickBot="1">
      <c r="A63" s="17">
        <v>60</v>
      </c>
      <c r="B63" s="79">
        <f ca="1">ROUND('Расчет взносов'!$F$52*'Размер взносов по участкам'!A63,-1)</f>
        <v>25310</v>
      </c>
      <c r="C63" s="82">
        <v>40</v>
      </c>
      <c r="D63" s="82">
        <f t="shared" si="0"/>
        <v>27710</v>
      </c>
    </row>
    <row r="64" spans="1:4" ht="15.75" thickBot="1">
      <c r="A64" s="17">
        <v>75</v>
      </c>
      <c r="B64" s="79">
        <f ca="1">ROUND('Расчет взносов'!$F$52*'Размер взносов по участкам'!A64,-1)</f>
        <v>31640</v>
      </c>
      <c r="C64" s="82">
        <v>40</v>
      </c>
      <c r="D64" s="82">
        <f t="shared" si="0"/>
        <v>34640</v>
      </c>
    </row>
    <row r="65" spans="1:4" ht="15.75" thickBot="1">
      <c r="A65" s="17">
        <v>263.25</v>
      </c>
      <c r="B65" s="79">
        <f ca="1">ROUND('Расчет взносов'!$D$51*'Размер взносов по участкам'!A65,-1)</f>
        <v>77020</v>
      </c>
      <c r="C65" s="82">
        <v>40</v>
      </c>
      <c r="D65" s="82">
        <f t="shared" si="0"/>
        <v>87550</v>
      </c>
    </row>
    <row r="66" spans="1:4">
      <c r="A66" s="18"/>
      <c r="B66" s="18"/>
    </row>
    <row r="67" spans="1:4" ht="15.75" thickBot="1">
      <c r="A67" s="19" t="s">
        <v>62</v>
      </c>
      <c r="B67" s="19"/>
    </row>
    <row r="68" spans="1:4" ht="15.75" thickBot="1">
      <c r="A68" s="16">
        <v>6</v>
      </c>
      <c r="B68" s="80">
        <f ca="1">ROUND('Расчет взносов'!$E$50*'Размер взносов по участкам'!A68,-1)</f>
        <v>980</v>
      </c>
      <c r="C68" s="82">
        <v>40</v>
      </c>
      <c r="D68" s="82">
        <f t="shared" si="0"/>
        <v>1220</v>
      </c>
    </row>
    <row r="69" spans="1:4" ht="15.75" thickBot="1">
      <c r="A69" s="17">
        <v>10</v>
      </c>
      <c r="B69" s="80">
        <f ca="1">ROUND('Расчет взносов'!$E$50*'Размер взносов по участкам'!A69,-1)</f>
        <v>1640</v>
      </c>
      <c r="C69" s="82">
        <v>40</v>
      </c>
      <c r="D69" s="82">
        <f>ROUND(B69+A69*C69,-1)</f>
        <v>2040</v>
      </c>
    </row>
    <row r="70" spans="1:4" ht="15.75" thickBot="1">
      <c r="A70" s="17">
        <v>12</v>
      </c>
      <c r="B70" s="80">
        <f ca="1">ROUND('Расчет взносов'!$E$50*'Размер взносов по участкам'!A70,-1)</f>
        <v>1970</v>
      </c>
      <c r="C70" s="82">
        <v>40</v>
      </c>
      <c r="D70" s="82">
        <f>ROUND(B70+A70*C70,-1)</f>
        <v>2450</v>
      </c>
    </row>
    <row r="71" spans="1:4" ht="15.75" thickBot="1">
      <c r="A71" s="17">
        <v>15</v>
      </c>
      <c r="B71" s="80">
        <f ca="1">ROUND('Расчет взносов'!$E$50*'Размер взносов по участкам'!A71,-1)</f>
        <v>2460</v>
      </c>
      <c r="C71" s="82">
        <v>40</v>
      </c>
      <c r="D71" s="82">
        <f>ROUND(B71+A71*C71,-1)</f>
        <v>3060</v>
      </c>
    </row>
    <row r="72" spans="1:4" ht="15.75" thickBot="1">
      <c r="A72" s="16">
        <v>180</v>
      </c>
      <c r="B72" s="80">
        <f ca="1">ROUND('Расчет взносов'!$E$50*'Размер взносов по участкам'!A72,-1)</f>
        <v>29550</v>
      </c>
      <c r="C72" s="82">
        <v>40</v>
      </c>
      <c r="D72" s="82">
        <f>ROUND(B72+A72*C72,-1)</f>
        <v>36750</v>
      </c>
    </row>
    <row r="74" spans="1:4">
      <c r="A74" t="s">
        <v>63</v>
      </c>
    </row>
    <row r="75" spans="1:4">
      <c r="A75" t="s">
        <v>88</v>
      </c>
    </row>
    <row r="76" spans="1:4">
      <c r="A76" t="s">
        <v>89</v>
      </c>
    </row>
    <row r="77" spans="1:4">
      <c r="A77" t="s">
        <v>90</v>
      </c>
    </row>
  </sheetData>
  <phoneticPr fontId="7" type="noConversion"/>
  <pageMargins left="0.24" right="0.3" top="0.52" bottom="0.45" header="0.5" footer="0.38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ФИНПЛАН 20-21 </vt:lpstr>
      <vt:lpstr>Расчет взносов</vt:lpstr>
      <vt:lpstr>Размер взносов по участкам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dc:description/>
  <cp:lastModifiedBy>user</cp:lastModifiedBy>
  <cp:revision>2</cp:revision>
  <cp:lastPrinted>2019-04-25T06:14:07Z</cp:lastPrinted>
  <dcterms:created xsi:type="dcterms:W3CDTF">2018-05-25T06:58:36Z</dcterms:created>
  <dcterms:modified xsi:type="dcterms:W3CDTF">2021-06-01T16:16:51Z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