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5440" windowHeight="15390" tabRatio="769" firstSheet="1" activeTab="1"/>
  </bookViews>
  <sheets>
    <sheet name="ВСЕ затраты за 6 мес." sheetId="1" state="hidden" r:id="rId1"/>
    <sheet name="ВСЕ затраты" sheetId="2" r:id="rId2"/>
    <sheet name="ВСЕ затраты в 2016-2017 гг (2)" sheetId="3" state="hidden" r:id="rId3"/>
    <sheet name="общехоз расходы" sheetId="4" r:id="rId4"/>
    <sheet name="программ обеспечение" sheetId="5" r:id="rId5"/>
    <sheet name="услуги связи" sheetId="6" r:id="rId6"/>
    <sheet name="з пл" sheetId="7" r:id="rId7"/>
    <sheet name="премиальный фонд" sheetId="8" r:id="rId8"/>
    <sheet name="налог с ФОТ" sheetId="9" r:id="rId9"/>
    <sheet name="сод охраны" sheetId="11" r:id="rId10"/>
    <sheet name="вывоз мусора" sheetId="12" r:id="rId11"/>
    <sheet name="содерж газ оборуд" sheetId="13" r:id="rId12"/>
    <sheet name="сод сетей водоснабжения" sheetId="14" r:id="rId13"/>
    <sheet name="канализация" sheetId="15" r:id="rId14"/>
    <sheet name="электроснабжение" sheetId="16" r:id="rId15"/>
    <sheet name="содерж дорог" sheetId="17" r:id="rId16"/>
    <sheet name="ямочный ремонт" sheetId="18" r:id="rId17"/>
    <sheet name="благоустройство" sheetId="19" r:id="rId18"/>
    <sheet name="резервный фонд" sheetId="20" r:id="rId19"/>
    <sheet name="Ремонт водопров." sheetId="21" r:id="rId20"/>
    <sheet name="Лиц.скважин" sheetId="22" r:id="rId21"/>
    <sheet name="Оформление земли" sheetId="23" r:id="rId22"/>
    <sheet name="приобрт инвентаря и оборуд" sheetId="10" r:id="rId23"/>
  </sheets>
  <definedNames>
    <definedName name="_xlnm.Print_Area" localSheetId="1">'ВСЕ затраты'!$A$1:$R$44</definedName>
  </definedNames>
  <calcPr calcId="114210"/>
</workbook>
</file>

<file path=xl/calcChain.xml><?xml version="1.0" encoding="utf-8"?>
<calcChain xmlns="http://schemas.openxmlformats.org/spreadsheetml/2006/main">
  <c r="K3" i="9"/>
  <c r="K78" i="4"/>
  <c r="K10"/>
  <c r="K13"/>
  <c r="K6" i="17"/>
  <c r="K75" i="4"/>
  <c r="K9"/>
  <c r="M6" i="2"/>
  <c r="K5" i="16"/>
  <c r="M9" i="2"/>
  <c r="K3" i="7"/>
  <c r="K29" i="17"/>
  <c r="K28" i="20"/>
  <c r="N26" i="4"/>
  <c r="N27"/>
  <c r="N10" i="15"/>
  <c r="N11"/>
  <c r="N12"/>
  <c r="J6" i="17"/>
  <c r="J3" i="7"/>
  <c r="L30" i="2"/>
  <c r="J5" i="4"/>
  <c r="J3" i="8"/>
  <c r="J11" i="17"/>
  <c r="J5" i="16"/>
  <c r="L9" i="2"/>
  <c r="L6"/>
  <c r="J3" i="9"/>
  <c r="J4" i="6"/>
  <c r="N5" i="23"/>
  <c r="I11" i="4"/>
  <c r="I13"/>
  <c r="N68"/>
  <c r="N69"/>
  <c r="N70"/>
  <c r="N71"/>
  <c r="N72"/>
  <c r="N73"/>
  <c r="N74"/>
  <c r="N75"/>
  <c r="N76"/>
  <c r="I9"/>
  <c r="N5" i="17"/>
  <c r="I6"/>
  <c r="J9" i="2"/>
  <c r="I5" i="16"/>
  <c r="H5"/>
  <c r="I3" i="7"/>
  <c r="I22" i="15"/>
  <c r="K6" i="2"/>
  <c r="K9"/>
  <c r="H3" i="9"/>
  <c r="H22" i="17"/>
  <c r="H28" i="16"/>
  <c r="H53" i="4"/>
  <c r="H27" i="16"/>
  <c r="H40" i="4"/>
  <c r="H45" i="19"/>
  <c r="H11" i="4"/>
  <c r="P8" i="2"/>
  <c r="H3" i="7"/>
  <c r="I3" i="9"/>
  <c r="H3" i="8"/>
  <c r="H4" i="15"/>
  <c r="N9"/>
  <c r="N7"/>
  <c r="H4" i="7"/>
  <c r="N7" i="20"/>
  <c r="N8"/>
  <c r="N9"/>
  <c r="N10"/>
  <c r="J6" i="2"/>
  <c r="G6" i="17"/>
  <c r="G8" i="4"/>
  <c r="G9"/>
  <c r="I6" i="2"/>
  <c r="G5" i="16"/>
  <c r="G3" i="9"/>
  <c r="G3" i="7"/>
  <c r="I9" i="2"/>
  <c r="G16" i="17"/>
  <c r="G43" i="4"/>
  <c r="I39" i="2"/>
  <c r="Q18"/>
  <c r="F3" i="9"/>
  <c r="F3" i="7"/>
  <c r="F9" i="4"/>
  <c r="F13"/>
  <c r="F38"/>
  <c r="H9" i="2"/>
  <c r="H6"/>
  <c r="F5" i="16"/>
  <c r="F14" i="17"/>
  <c r="F7" i="4"/>
  <c r="N21" i="15"/>
  <c r="N22"/>
  <c r="N23"/>
  <c r="N24"/>
  <c r="N25"/>
  <c r="N26"/>
  <c r="N27"/>
  <c r="E3" i="7"/>
  <c r="G6" i="2"/>
  <c r="E5" i="16"/>
  <c r="G9" i="2"/>
  <c r="E3" i="9"/>
  <c r="E36" i="4"/>
  <c r="N3" i="6"/>
  <c r="B7"/>
  <c r="C7"/>
  <c r="D7"/>
  <c r="F7"/>
  <c r="G7"/>
  <c r="H7"/>
  <c r="I7"/>
  <c r="J7"/>
  <c r="K7"/>
  <c r="L7"/>
  <c r="M7"/>
  <c r="E7"/>
  <c r="E4" i="15"/>
  <c r="D19" i="16"/>
  <c r="D9" i="4"/>
  <c r="D13" i="15"/>
  <c r="D27" i="19"/>
  <c r="D29" i="4"/>
  <c r="D13"/>
  <c r="D11"/>
  <c r="D5" i="16"/>
  <c r="F6" i="2"/>
  <c r="F9"/>
  <c r="D3" i="7"/>
  <c r="D3" i="9"/>
  <c r="D4" i="15"/>
  <c r="B43" i="2"/>
  <c r="C11" i="18"/>
  <c r="B11"/>
  <c r="D28" i="2"/>
  <c r="C22" i="19"/>
  <c r="C16"/>
  <c r="C3"/>
  <c r="N6" i="17"/>
  <c r="N7"/>
  <c r="N8"/>
  <c r="C3" i="7"/>
  <c r="C3" i="9"/>
  <c r="N7" i="4"/>
  <c r="C4" i="15"/>
  <c r="C4" i="13"/>
  <c r="C3"/>
  <c r="C4" i="6"/>
  <c r="C22" i="4"/>
  <c r="C5" i="16"/>
  <c r="E6" i="2"/>
  <c r="E9"/>
  <c r="M17" i="23"/>
  <c r="L17"/>
  <c r="K17"/>
  <c r="J17"/>
  <c r="I17"/>
  <c r="H17"/>
  <c r="G17"/>
  <c r="F17"/>
  <c r="E17"/>
  <c r="D17"/>
  <c r="C17"/>
  <c r="B17"/>
  <c r="N16"/>
  <c r="N15"/>
  <c r="N14"/>
  <c r="N13"/>
  <c r="N12"/>
  <c r="N11"/>
  <c r="N10"/>
  <c r="N9"/>
  <c r="N8"/>
  <c r="N7"/>
  <c r="N6"/>
  <c r="N4"/>
  <c r="G1"/>
  <c r="M18" i="22"/>
  <c r="L18"/>
  <c r="K18"/>
  <c r="J18"/>
  <c r="I18"/>
  <c r="H18"/>
  <c r="G18"/>
  <c r="F18"/>
  <c r="E18"/>
  <c r="D18"/>
  <c r="C18"/>
  <c r="B18"/>
  <c r="N17"/>
  <c r="N16"/>
  <c r="N15"/>
  <c r="N14"/>
  <c r="N13"/>
  <c r="N12"/>
  <c r="N11"/>
  <c r="N10"/>
  <c r="N9"/>
  <c r="N8"/>
  <c r="N7"/>
  <c r="N6"/>
  <c r="N5"/>
  <c r="N4"/>
  <c r="N18"/>
  <c r="N20"/>
  <c r="G1"/>
  <c r="M17" i="21"/>
  <c r="L17"/>
  <c r="K17"/>
  <c r="M36" i="2"/>
  <c r="J17" i="21"/>
  <c r="I17"/>
  <c r="H17"/>
  <c r="J36" i="2"/>
  <c r="G17" i="21"/>
  <c r="F17"/>
  <c r="E17"/>
  <c r="G36" i="2"/>
  <c r="D17" i="21"/>
  <c r="F36" i="2"/>
  <c r="C17" i="21"/>
  <c r="E36" i="2"/>
  <c r="B17" i="21"/>
  <c r="N16"/>
  <c r="N15"/>
  <c r="N14"/>
  <c r="N13"/>
  <c r="N12"/>
  <c r="N11"/>
  <c r="N10"/>
  <c r="N9"/>
  <c r="N8"/>
  <c r="N7"/>
  <c r="N6"/>
  <c r="N5"/>
  <c r="N4"/>
  <c r="G1"/>
  <c r="M66" i="20"/>
  <c r="O33" i="2"/>
  <c r="L66" i="20"/>
  <c r="N33" i="2"/>
  <c r="K66" i="20"/>
  <c r="J66"/>
  <c r="I66"/>
  <c r="K33" i="2"/>
  <c r="H66" i="20"/>
  <c r="G66"/>
  <c r="N31" i="1"/>
  <c r="F66" i="20"/>
  <c r="E66"/>
  <c r="G33" i="2"/>
  <c r="D66" i="20"/>
  <c r="K31" i="1"/>
  <c r="C66" i="20"/>
  <c r="E33" i="2"/>
  <c r="B66" i="20"/>
  <c r="I31" i="1"/>
  <c r="N65" i="20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6"/>
  <c r="N12"/>
  <c r="N11"/>
  <c r="N5"/>
  <c r="N4"/>
  <c r="N3"/>
  <c r="G1"/>
  <c r="M62" i="19"/>
  <c r="L62"/>
  <c r="K62"/>
  <c r="J62"/>
  <c r="I62"/>
  <c r="H62"/>
  <c r="G62"/>
  <c r="F62"/>
  <c r="E62"/>
  <c r="L29" i="1"/>
  <c r="D62" i="19"/>
  <c r="F29" i="2"/>
  <c r="C62" i="19"/>
  <c r="J29" i="1"/>
  <c r="N61" i="19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B3"/>
  <c r="N3"/>
  <c r="G1"/>
  <c r="M11" i="18"/>
  <c r="L11"/>
  <c r="K11"/>
  <c r="J11"/>
  <c r="I11"/>
  <c r="H11"/>
  <c r="G11"/>
  <c r="F11"/>
  <c r="E11"/>
  <c r="D11"/>
  <c r="F28" i="2"/>
  <c r="E28"/>
  <c r="N10" i="18"/>
  <c r="N9"/>
  <c r="N8"/>
  <c r="N7"/>
  <c r="N6"/>
  <c r="N5"/>
  <c r="N4"/>
  <c r="G1"/>
  <c r="M45" i="17"/>
  <c r="L45"/>
  <c r="K45"/>
  <c r="M27" i="2"/>
  <c r="J45" i="17"/>
  <c r="L27" i="2"/>
  <c r="I45" i="17"/>
  <c r="K27" i="2"/>
  <c r="H45" i="17"/>
  <c r="J27" i="2"/>
  <c r="G45" i="17"/>
  <c r="N28" i="1"/>
  <c r="F45" i="17"/>
  <c r="H27" i="2"/>
  <c r="E45" i="17"/>
  <c r="D45"/>
  <c r="F27" i="2"/>
  <c r="C45" i="17"/>
  <c r="E27" i="2"/>
  <c r="B45" i="17"/>
  <c r="D27" i="2"/>
  <c r="N44" i="17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4"/>
  <c r="G1"/>
  <c r="M46" i="16"/>
  <c r="L46"/>
  <c r="K46"/>
  <c r="M26" i="2"/>
  <c r="J46" i="16"/>
  <c r="I46"/>
  <c r="K26" i="2"/>
  <c r="H46" i="16"/>
  <c r="J26" i="2"/>
  <c r="G46" i="16"/>
  <c r="I26" i="2"/>
  <c r="F46" i="16"/>
  <c r="H26" i="2"/>
  <c r="E46" i="16"/>
  <c r="G26" i="2"/>
  <c r="D46" i="16"/>
  <c r="F26" i="2"/>
  <c r="C46" i="16"/>
  <c r="E26" i="2"/>
  <c r="N45" i="16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B10"/>
  <c r="B46"/>
  <c r="D26" i="2"/>
  <c r="N9" i="16"/>
  <c r="N8"/>
  <c r="N7"/>
  <c r="N6"/>
  <c r="N5"/>
  <c r="N4"/>
  <c r="G1"/>
  <c r="M32" i="15"/>
  <c r="L32"/>
  <c r="K32"/>
  <c r="M25" i="2"/>
  <c r="J32" i="15"/>
  <c r="L25" i="2"/>
  <c r="I32" i="15"/>
  <c r="K25" i="2"/>
  <c r="H32" i="15"/>
  <c r="J25" i="2"/>
  <c r="G32" i="15"/>
  <c r="I25" i="2"/>
  <c r="F32" i="15"/>
  <c r="H25" i="2"/>
  <c r="E32" i="15"/>
  <c r="G25" i="2"/>
  <c r="D32" i="15"/>
  <c r="F25" i="2"/>
  <c r="C32" i="15"/>
  <c r="B32"/>
  <c r="D25" i="2"/>
  <c r="N31" i="15"/>
  <c r="N30"/>
  <c r="N29"/>
  <c r="N28"/>
  <c r="N20"/>
  <c r="N19"/>
  <c r="N18"/>
  <c r="N17"/>
  <c r="N16"/>
  <c r="N15"/>
  <c r="N14"/>
  <c r="N13"/>
  <c r="N8"/>
  <c r="N6"/>
  <c r="N5"/>
  <c r="N4"/>
  <c r="N3"/>
  <c r="G1"/>
  <c r="M31" i="14"/>
  <c r="L31"/>
  <c r="N24" i="2"/>
  <c r="K31" i="14"/>
  <c r="J31"/>
  <c r="L24" i="2"/>
  <c r="I31" i="14"/>
  <c r="H31"/>
  <c r="J24" i="2"/>
  <c r="G31" i="14"/>
  <c r="F31"/>
  <c r="H24" i="2"/>
  <c r="E31" i="14"/>
  <c r="G24" i="2"/>
  <c r="D31" i="14"/>
  <c r="F24" i="2"/>
  <c r="C31" i="14"/>
  <c r="E24" i="2"/>
  <c r="B31" i="14"/>
  <c r="D24" i="2"/>
  <c r="N30" i="14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G1"/>
  <c r="M6" i="13"/>
  <c r="O23" i="2"/>
  <c r="L6" i="13"/>
  <c r="K6"/>
  <c r="J6"/>
  <c r="I6"/>
  <c r="K23" i="2"/>
  <c r="H6" i="13"/>
  <c r="G6"/>
  <c r="F6"/>
  <c r="H23" i="2"/>
  <c r="E6" i="13"/>
  <c r="G23" i="2"/>
  <c r="D6" i="13"/>
  <c r="K22" i="1"/>
  <c r="C6" i="13"/>
  <c r="E23" i="2"/>
  <c r="B6" i="13"/>
  <c r="N5"/>
  <c r="N4"/>
  <c r="N3"/>
  <c r="G1"/>
  <c r="M10" i="12"/>
  <c r="L10"/>
  <c r="K10"/>
  <c r="M21" i="2"/>
  <c r="J10" i="12"/>
  <c r="L21" i="2"/>
  <c r="I10" i="12"/>
  <c r="H10"/>
  <c r="J21" i="2"/>
  <c r="G10" i="12"/>
  <c r="I21" i="2"/>
  <c r="F10" i="12"/>
  <c r="H21" i="2"/>
  <c r="E10" i="12"/>
  <c r="G21" i="2"/>
  <c r="D10" i="12"/>
  <c r="K20" i="1"/>
  <c r="C10" i="12"/>
  <c r="E21" i="2"/>
  <c r="B10" i="12"/>
  <c r="D21" i="2"/>
  <c r="N9" i="12"/>
  <c r="N8"/>
  <c r="N7"/>
  <c r="N6"/>
  <c r="N5"/>
  <c r="N4"/>
  <c r="N3"/>
  <c r="G1"/>
  <c r="M7" i="11"/>
  <c r="O22" i="2"/>
  <c r="L7" i="11"/>
  <c r="K7"/>
  <c r="J7"/>
  <c r="I7"/>
  <c r="K22" i="2"/>
  <c r="H7" i="11"/>
  <c r="J22" i="2"/>
  <c r="G7" i="11"/>
  <c r="N21" i="1"/>
  <c r="F7" i="11"/>
  <c r="M21" i="1"/>
  <c r="E7" i="11"/>
  <c r="G22" i="2"/>
  <c r="D7" i="11"/>
  <c r="C7"/>
  <c r="B7"/>
  <c r="N6"/>
  <c r="N5"/>
  <c r="N4"/>
  <c r="G1"/>
  <c r="M27" i="10"/>
  <c r="O20" i="2"/>
  <c r="L27" i="10"/>
  <c r="K27"/>
  <c r="M20" i="2"/>
  <c r="J27" i="10"/>
  <c r="L20" i="2"/>
  <c r="I27" i="10"/>
  <c r="H27"/>
  <c r="G27"/>
  <c r="I20" i="2"/>
  <c r="F27" i="10"/>
  <c r="H20" i="2"/>
  <c r="E27" i="10"/>
  <c r="G20" i="2"/>
  <c r="D27" i="10"/>
  <c r="C27"/>
  <c r="E20" i="2"/>
  <c r="B27" i="10"/>
  <c r="D20" i="2"/>
  <c r="N26" i="10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G1"/>
  <c r="M6" i="9"/>
  <c r="L6"/>
  <c r="N19" i="2"/>
  <c r="K6" i="9"/>
  <c r="M19" i="2"/>
  <c r="J6" i="9"/>
  <c r="L19" i="2"/>
  <c r="I6" i="9"/>
  <c r="K19" i="2"/>
  <c r="H6" i="9"/>
  <c r="G6"/>
  <c r="F6"/>
  <c r="H19" i="2"/>
  <c r="E6" i="9"/>
  <c r="G19" i="2"/>
  <c r="D6" i="9"/>
  <c r="C6"/>
  <c r="N5"/>
  <c r="N4"/>
  <c r="B3"/>
  <c r="N3"/>
  <c r="N6"/>
  <c r="G1"/>
  <c r="M5" i="8"/>
  <c r="L5"/>
  <c r="K5"/>
  <c r="J5"/>
  <c r="L18" i="2"/>
  <c r="I5" i="8"/>
  <c r="H5"/>
  <c r="J18" i="2"/>
  <c r="G5" i="8"/>
  <c r="F5"/>
  <c r="E5"/>
  <c r="D5"/>
  <c r="C5"/>
  <c r="B5"/>
  <c r="N4"/>
  <c r="N3"/>
  <c r="G1"/>
  <c r="M5" i="7"/>
  <c r="L5"/>
  <c r="K5"/>
  <c r="M17" i="2"/>
  <c r="J5" i="7"/>
  <c r="L17" i="2"/>
  <c r="I5" i="7"/>
  <c r="K17" i="2"/>
  <c r="H5" i="7"/>
  <c r="G5"/>
  <c r="I17" i="2"/>
  <c r="F5" i="7"/>
  <c r="H17" i="2"/>
  <c r="E5" i="7"/>
  <c r="L16" i="1"/>
  <c r="D5" i="7"/>
  <c r="K16" i="1"/>
  <c r="C5" i="7"/>
  <c r="E17" i="2"/>
  <c r="N4" i="7"/>
  <c r="B3"/>
  <c r="B5"/>
  <c r="G1"/>
  <c r="L16" i="2"/>
  <c r="H16"/>
  <c r="J14" i="1"/>
  <c r="D16" i="2"/>
  <c r="N6" i="6"/>
  <c r="N5"/>
  <c r="N4"/>
  <c r="G1"/>
  <c r="M10" i="5"/>
  <c r="L10"/>
  <c r="K10"/>
  <c r="M15" i="2"/>
  <c r="J10" i="5"/>
  <c r="L15" i="2"/>
  <c r="I10" i="5"/>
  <c r="H10"/>
  <c r="G10"/>
  <c r="I15" i="2"/>
  <c r="F10" i="5"/>
  <c r="H15" i="2"/>
  <c r="E10" i="5"/>
  <c r="D10"/>
  <c r="C10"/>
  <c r="E15" i="2"/>
  <c r="B10" i="5"/>
  <c r="D15" i="2"/>
  <c r="N8" i="5"/>
  <c r="N7"/>
  <c r="N6"/>
  <c r="N5"/>
  <c r="N4"/>
  <c r="N3"/>
  <c r="G1"/>
  <c r="M91" i="4"/>
  <c r="L91"/>
  <c r="N14" i="2"/>
  <c r="K91" i="4"/>
  <c r="M14" i="2"/>
  <c r="J91" i="4"/>
  <c r="L14" i="2"/>
  <c r="I91" i="4"/>
  <c r="K14" i="2"/>
  <c r="H91" i="4"/>
  <c r="J14" i="2"/>
  <c r="F91" i="4"/>
  <c r="H14" i="2"/>
  <c r="E91" i="4"/>
  <c r="G14" i="2"/>
  <c r="D91" i="4"/>
  <c r="F14" i="2"/>
  <c r="C91" i="4"/>
  <c r="E14" i="2"/>
  <c r="N90" i="4"/>
  <c r="N89"/>
  <c r="N88"/>
  <c r="N87"/>
  <c r="N86"/>
  <c r="N85"/>
  <c r="N84"/>
  <c r="N83"/>
  <c r="N82"/>
  <c r="N81"/>
  <c r="N80"/>
  <c r="N79"/>
  <c r="N78"/>
  <c r="N77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5"/>
  <c r="N24"/>
  <c r="N23"/>
  <c r="N22"/>
  <c r="N21"/>
  <c r="N20"/>
  <c r="N19"/>
  <c r="N18"/>
  <c r="N17"/>
  <c r="N16"/>
  <c r="N15"/>
  <c r="N14"/>
  <c r="B13"/>
  <c r="N13"/>
  <c r="B12"/>
  <c r="N12"/>
  <c r="N11"/>
  <c r="N10"/>
  <c r="N9"/>
  <c r="B8"/>
  <c r="N8"/>
  <c r="N6"/>
  <c r="N5"/>
  <c r="N4"/>
  <c r="G1"/>
  <c r="G91"/>
  <c r="I14" i="2"/>
  <c r="S33" i="3"/>
  <c r="R33"/>
  <c r="Q33"/>
  <c r="P33"/>
  <c r="O33"/>
  <c r="N33"/>
  <c r="M33"/>
  <c r="L33"/>
  <c r="K33"/>
  <c r="J33"/>
  <c r="I33"/>
  <c r="H33"/>
  <c r="T32"/>
  <c r="G32"/>
  <c r="T31"/>
  <c r="G31"/>
  <c r="U31"/>
  <c r="T30"/>
  <c r="G30"/>
  <c r="U30"/>
  <c r="T29"/>
  <c r="U29"/>
  <c r="G29"/>
  <c r="T28"/>
  <c r="U28"/>
  <c r="G28"/>
  <c r="T27"/>
  <c r="G27"/>
  <c r="T26"/>
  <c r="G26"/>
  <c r="U25"/>
  <c r="T25"/>
  <c r="G25"/>
  <c r="T24"/>
  <c r="G24"/>
  <c r="F24"/>
  <c r="F33"/>
  <c r="T23"/>
  <c r="U23"/>
  <c r="G23"/>
  <c r="T22"/>
  <c r="G22"/>
  <c r="T21"/>
  <c r="G21"/>
  <c r="U20"/>
  <c r="T20"/>
  <c r="G20"/>
  <c r="T19"/>
  <c r="G19"/>
  <c r="T18"/>
  <c r="G18"/>
  <c r="U18"/>
  <c r="T17"/>
  <c r="G17"/>
  <c r="U17"/>
  <c r="T16"/>
  <c r="G16"/>
  <c r="U16"/>
  <c r="T15"/>
  <c r="U15"/>
  <c r="G15"/>
  <c r="T14"/>
  <c r="G14"/>
  <c r="T13"/>
  <c r="G13"/>
  <c r="T12"/>
  <c r="G12"/>
  <c r="G33"/>
  <c r="F10"/>
  <c r="H9"/>
  <c r="T9"/>
  <c r="T8"/>
  <c r="T7"/>
  <c r="T6"/>
  <c r="T5"/>
  <c r="T4"/>
  <c r="G4"/>
  <c r="G10"/>
  <c r="Q42" i="2"/>
  <c r="P42"/>
  <c r="R42"/>
  <c r="Q41"/>
  <c r="P41"/>
  <c r="R41"/>
  <c r="Q40"/>
  <c r="O40"/>
  <c r="N40"/>
  <c r="M40"/>
  <c r="L40"/>
  <c r="K40"/>
  <c r="J40"/>
  <c r="I40"/>
  <c r="H40"/>
  <c r="G40"/>
  <c r="F40"/>
  <c r="E40"/>
  <c r="D40"/>
  <c r="D36"/>
  <c r="D38"/>
  <c r="D35"/>
  <c r="Q39"/>
  <c r="P39"/>
  <c r="R39"/>
  <c r="Q38"/>
  <c r="O38"/>
  <c r="N38"/>
  <c r="N35"/>
  <c r="M38"/>
  <c r="L38"/>
  <c r="K38"/>
  <c r="J38"/>
  <c r="I38"/>
  <c r="H38"/>
  <c r="G38"/>
  <c r="F38"/>
  <c r="E38"/>
  <c r="R37"/>
  <c r="Q36"/>
  <c r="L36"/>
  <c r="K36"/>
  <c r="K35"/>
  <c r="I36"/>
  <c r="H36"/>
  <c r="H35"/>
  <c r="B35"/>
  <c r="B34"/>
  <c r="M33"/>
  <c r="L33"/>
  <c r="J33"/>
  <c r="I33"/>
  <c r="H33"/>
  <c r="D33"/>
  <c r="C33"/>
  <c r="Q33"/>
  <c r="Q32"/>
  <c r="P32"/>
  <c r="Q31"/>
  <c r="P31"/>
  <c r="Q30"/>
  <c r="P30"/>
  <c r="R30"/>
  <c r="O29"/>
  <c r="N29"/>
  <c r="M29"/>
  <c r="L29"/>
  <c r="K29"/>
  <c r="J29"/>
  <c r="I29"/>
  <c r="H29"/>
  <c r="G29"/>
  <c r="C29"/>
  <c r="Q29"/>
  <c r="Q28"/>
  <c r="H28"/>
  <c r="G28"/>
  <c r="O27"/>
  <c r="N27"/>
  <c r="G27"/>
  <c r="C27"/>
  <c r="Q27"/>
  <c r="O26"/>
  <c r="N26"/>
  <c r="L26"/>
  <c r="C26"/>
  <c r="Q26"/>
  <c r="O25"/>
  <c r="N25"/>
  <c r="E25"/>
  <c r="C25"/>
  <c r="Q25"/>
  <c r="O24"/>
  <c r="M24"/>
  <c r="K24"/>
  <c r="I24"/>
  <c r="C24"/>
  <c r="Q24"/>
  <c r="N23"/>
  <c r="M23"/>
  <c r="L23"/>
  <c r="J23"/>
  <c r="I23"/>
  <c r="F23"/>
  <c r="D23"/>
  <c r="C23"/>
  <c r="Q23"/>
  <c r="N22"/>
  <c r="M22"/>
  <c r="L22"/>
  <c r="I22"/>
  <c r="F22"/>
  <c r="E22"/>
  <c r="D22"/>
  <c r="C22"/>
  <c r="Q22"/>
  <c r="O21"/>
  <c r="N21"/>
  <c r="K21"/>
  <c r="C21"/>
  <c r="Q21"/>
  <c r="N20"/>
  <c r="K20"/>
  <c r="J20"/>
  <c r="F20"/>
  <c r="C20"/>
  <c r="Q20"/>
  <c r="O19"/>
  <c r="J19"/>
  <c r="I19"/>
  <c r="F19"/>
  <c r="E19"/>
  <c r="C19"/>
  <c r="Q19"/>
  <c r="O18"/>
  <c r="N18"/>
  <c r="M18"/>
  <c r="K18"/>
  <c r="I18"/>
  <c r="H18"/>
  <c r="G18"/>
  <c r="F18"/>
  <c r="E18"/>
  <c r="D18"/>
  <c r="O17"/>
  <c r="N17"/>
  <c r="J17"/>
  <c r="C17"/>
  <c r="Q17"/>
  <c r="O16"/>
  <c r="N16"/>
  <c r="M16"/>
  <c r="K16"/>
  <c r="J16"/>
  <c r="I16"/>
  <c r="G16"/>
  <c r="F16"/>
  <c r="E16"/>
  <c r="C16"/>
  <c r="Q16"/>
  <c r="O15"/>
  <c r="N15"/>
  <c r="K15"/>
  <c r="J15"/>
  <c r="G15"/>
  <c r="F15"/>
  <c r="C15"/>
  <c r="Q15"/>
  <c r="O14"/>
  <c r="C14"/>
  <c r="B12"/>
  <c r="O11"/>
  <c r="N11"/>
  <c r="M11"/>
  <c r="L11"/>
  <c r="K11"/>
  <c r="J11"/>
  <c r="I11"/>
  <c r="H11"/>
  <c r="G11"/>
  <c r="F11"/>
  <c r="E11"/>
  <c r="D11"/>
  <c r="C11"/>
  <c r="B11"/>
  <c r="Q10"/>
  <c r="P10"/>
  <c r="P9"/>
  <c r="C9"/>
  <c r="Q9"/>
  <c r="P7"/>
  <c r="C7"/>
  <c r="Q7"/>
  <c r="P6"/>
  <c r="C6"/>
  <c r="Q6"/>
  <c r="Q3"/>
  <c r="P3"/>
  <c r="T32" i="1"/>
  <c r="S32"/>
  <c r="R32"/>
  <c r="Q32"/>
  <c r="P32"/>
  <c r="O32"/>
  <c r="M31"/>
  <c r="J31"/>
  <c r="G31"/>
  <c r="V31"/>
  <c r="N30"/>
  <c r="M30"/>
  <c r="L30"/>
  <c r="K30"/>
  <c r="J30"/>
  <c r="I30"/>
  <c r="U30"/>
  <c r="G30"/>
  <c r="V30"/>
  <c r="N29"/>
  <c r="M29"/>
  <c r="G29"/>
  <c r="V29"/>
  <c r="L28"/>
  <c r="I28"/>
  <c r="G28"/>
  <c r="V28"/>
  <c r="N27"/>
  <c r="M27"/>
  <c r="L27"/>
  <c r="K27"/>
  <c r="J27"/>
  <c r="I27"/>
  <c r="U27"/>
  <c r="G27"/>
  <c r="V27"/>
  <c r="W27"/>
  <c r="N26"/>
  <c r="M26"/>
  <c r="G26"/>
  <c r="V26"/>
  <c r="N25"/>
  <c r="M25"/>
  <c r="L25"/>
  <c r="K25"/>
  <c r="J25"/>
  <c r="I25"/>
  <c r="U25"/>
  <c r="G25"/>
  <c r="V25"/>
  <c r="N24"/>
  <c r="M24"/>
  <c r="L24"/>
  <c r="K24"/>
  <c r="J24"/>
  <c r="I24"/>
  <c r="U24"/>
  <c r="F24"/>
  <c r="V23"/>
  <c r="N23"/>
  <c r="I23"/>
  <c r="G23"/>
  <c r="N22"/>
  <c r="M22"/>
  <c r="I22"/>
  <c r="G22"/>
  <c r="V22"/>
  <c r="L21"/>
  <c r="K21"/>
  <c r="J21"/>
  <c r="I21"/>
  <c r="G21"/>
  <c r="V21"/>
  <c r="N20"/>
  <c r="I20"/>
  <c r="G20"/>
  <c r="V20"/>
  <c r="N19"/>
  <c r="L19"/>
  <c r="K19"/>
  <c r="I19"/>
  <c r="G19"/>
  <c r="V19"/>
  <c r="V18"/>
  <c r="N18"/>
  <c r="M18"/>
  <c r="L18"/>
  <c r="K18"/>
  <c r="J18"/>
  <c r="G18"/>
  <c r="V17"/>
  <c r="N17"/>
  <c r="M17"/>
  <c r="L17"/>
  <c r="K17"/>
  <c r="J17"/>
  <c r="I17"/>
  <c r="G17"/>
  <c r="V16"/>
  <c r="M16"/>
  <c r="J16"/>
  <c r="G16"/>
  <c r="N15"/>
  <c r="M15"/>
  <c r="L15"/>
  <c r="K15"/>
  <c r="J15"/>
  <c r="I15"/>
  <c r="U15"/>
  <c r="G15"/>
  <c r="V15"/>
  <c r="W15"/>
  <c r="N14"/>
  <c r="M14"/>
  <c r="L14"/>
  <c r="K14"/>
  <c r="I14"/>
  <c r="G14"/>
  <c r="V14"/>
  <c r="V13"/>
  <c r="N13"/>
  <c r="M13"/>
  <c r="L13"/>
  <c r="K13"/>
  <c r="J13"/>
  <c r="I13"/>
  <c r="G13"/>
  <c r="N12"/>
  <c r="M12"/>
  <c r="L12"/>
  <c r="K12"/>
  <c r="J12"/>
  <c r="I12"/>
  <c r="G12"/>
  <c r="N10"/>
  <c r="M10"/>
  <c r="L10"/>
  <c r="K10"/>
  <c r="J10"/>
  <c r="H10"/>
  <c r="F10"/>
  <c r="V9"/>
  <c r="I9"/>
  <c r="U9"/>
  <c r="U8"/>
  <c r="I7"/>
  <c r="I10"/>
  <c r="U10"/>
  <c r="G7"/>
  <c r="V7"/>
  <c r="U6"/>
  <c r="V5"/>
  <c r="U5"/>
  <c r="G5"/>
  <c r="R7" i="2"/>
  <c r="L35"/>
  <c r="I27"/>
  <c r="I35"/>
  <c r="N10" i="5"/>
  <c r="N12"/>
  <c r="N16" i="1"/>
  <c r="M19"/>
  <c r="M23"/>
  <c r="M28"/>
  <c r="M20"/>
  <c r="N7" i="6"/>
  <c r="N9"/>
  <c r="H22" i="2"/>
  <c r="G17"/>
  <c r="L26" i="1"/>
  <c r="L23"/>
  <c r="J23"/>
  <c r="K23"/>
  <c r="U23"/>
  <c r="W23"/>
  <c r="L20"/>
  <c r="I32"/>
  <c r="L22"/>
  <c r="R6" i="2"/>
  <c r="R9"/>
  <c r="K28" i="1"/>
  <c r="K29"/>
  <c r="N32" i="15"/>
  <c r="N34"/>
  <c r="F17" i="2"/>
  <c r="K26" i="1"/>
  <c r="L31"/>
  <c r="U31"/>
  <c r="W31"/>
  <c r="K34" i="2"/>
  <c r="K43"/>
  <c r="F21"/>
  <c r="F33"/>
  <c r="F34"/>
  <c r="F35"/>
  <c r="F43"/>
  <c r="P28"/>
  <c r="R28"/>
  <c r="R32"/>
  <c r="G35"/>
  <c r="P38"/>
  <c r="R38"/>
  <c r="P40"/>
  <c r="R40"/>
  <c r="T10" i="3"/>
  <c r="U14"/>
  <c r="U19"/>
  <c r="U21"/>
  <c r="U24"/>
  <c r="U26"/>
  <c r="U14" i="1"/>
  <c r="W14"/>
  <c r="W5"/>
  <c r="O34" i="2"/>
  <c r="U12" i="3"/>
  <c r="N31" i="14"/>
  <c r="N33"/>
  <c r="J35" i="2"/>
  <c r="C34"/>
  <c r="M35"/>
  <c r="W9" i="1"/>
  <c r="K32"/>
  <c r="R31" i="2"/>
  <c r="U13" i="3"/>
  <c r="U22"/>
  <c r="U27"/>
  <c r="U32"/>
  <c r="N5" i="8"/>
  <c r="N7"/>
  <c r="N7" i="11"/>
  <c r="N9"/>
  <c r="N6" i="13"/>
  <c r="N8"/>
  <c r="L32" i="1"/>
  <c r="M32"/>
  <c r="W30"/>
  <c r="P22" i="2"/>
  <c r="R22"/>
  <c r="O35"/>
  <c r="B91" i="4"/>
  <c r="D14" i="2"/>
  <c r="P14"/>
  <c r="P15"/>
  <c r="R15"/>
  <c r="H34"/>
  <c r="H43"/>
  <c r="N17" i="23"/>
  <c r="J19" i="1"/>
  <c r="N27" i="10"/>
  <c r="N29"/>
  <c r="N62" i="19"/>
  <c r="G34" i="2"/>
  <c r="G43"/>
  <c r="E29"/>
  <c r="E34"/>
  <c r="E35"/>
  <c r="E43"/>
  <c r="P24"/>
  <c r="R24"/>
  <c r="L34"/>
  <c r="L43"/>
  <c r="N32" i="1"/>
  <c r="J28"/>
  <c r="N17" i="21"/>
  <c r="N19"/>
  <c r="P36" i="2"/>
  <c r="R36"/>
  <c r="N45" i="17"/>
  <c r="N47"/>
  <c r="P27" i="2"/>
  <c r="R27"/>
  <c r="N10" i="12"/>
  <c r="N12"/>
  <c r="J20" i="1"/>
  <c r="U20"/>
  <c r="W20"/>
  <c r="N66" i="20"/>
  <c r="N68"/>
  <c r="N11" i="18"/>
  <c r="N13"/>
  <c r="J22" i="1"/>
  <c r="U22"/>
  <c r="W22"/>
  <c r="P23" i="2"/>
  <c r="R23"/>
  <c r="J32" i="1"/>
  <c r="P16" i="2"/>
  <c r="R16"/>
  <c r="P25"/>
  <c r="R25"/>
  <c r="P26"/>
  <c r="R26"/>
  <c r="J26" i="1"/>
  <c r="R10" i="2"/>
  <c r="W25" i="1"/>
  <c r="U12"/>
  <c r="U7"/>
  <c r="W7"/>
  <c r="D17" i="2"/>
  <c r="P17"/>
  <c r="R17"/>
  <c r="I16" i="1"/>
  <c r="P11" i="2"/>
  <c r="G10" i="1"/>
  <c r="V10"/>
  <c r="W10"/>
  <c r="U17"/>
  <c r="W17"/>
  <c r="J34" i="2"/>
  <c r="J43"/>
  <c r="I34"/>
  <c r="M34"/>
  <c r="P20"/>
  <c r="R20"/>
  <c r="P21"/>
  <c r="R21"/>
  <c r="V12" i="1"/>
  <c r="W12"/>
  <c r="U21"/>
  <c r="W21"/>
  <c r="N34" i="2"/>
  <c r="N43"/>
  <c r="U13" i="1"/>
  <c r="W13"/>
  <c r="U19"/>
  <c r="W19"/>
  <c r="F32"/>
  <c r="G24"/>
  <c r="V24"/>
  <c r="W24"/>
  <c r="I26"/>
  <c r="Q11" i="2"/>
  <c r="P18"/>
  <c r="R18"/>
  <c r="N91" i="4"/>
  <c r="H10" i="3"/>
  <c r="T33"/>
  <c r="B6" i="9"/>
  <c r="N3" i="7"/>
  <c r="N5"/>
  <c r="N7"/>
  <c r="B62" i="19"/>
  <c r="Q14" i="2"/>
  <c r="N10" i="16"/>
  <c r="N46"/>
  <c r="N48"/>
  <c r="M43" i="2"/>
  <c r="O43"/>
  <c r="I43"/>
  <c r="P33"/>
  <c r="R33"/>
  <c r="U16" i="1"/>
  <c r="W16"/>
  <c r="U28"/>
  <c r="W28"/>
  <c r="U26"/>
  <c r="W26"/>
  <c r="U33" i="3"/>
  <c r="P35" i="2"/>
  <c r="N92" i="4"/>
  <c r="N64" i="19"/>
  <c r="R11" i="2"/>
  <c r="W32" i="1"/>
  <c r="G32"/>
  <c r="V32"/>
  <c r="Q34" i="2"/>
  <c r="Q43"/>
  <c r="R14"/>
  <c r="U32" i="1"/>
  <c r="D19" i="2"/>
  <c r="I18" i="1"/>
  <c r="U18"/>
  <c r="W18"/>
  <c r="D29" i="2"/>
  <c r="P29"/>
  <c r="R29"/>
  <c r="I29" i="1"/>
  <c r="U29"/>
  <c r="W29"/>
  <c r="N8" i="9"/>
  <c r="P19" i="2"/>
  <c r="D34"/>
  <c r="D43"/>
  <c r="R19"/>
  <c r="P34"/>
  <c r="P43"/>
  <c r="R34"/>
  <c r="R43"/>
</calcChain>
</file>

<file path=xl/sharedStrings.xml><?xml version="1.0" encoding="utf-8"?>
<sst xmlns="http://schemas.openxmlformats.org/spreadsheetml/2006/main" count="754" uniqueCount="373">
  <si>
    <t xml:space="preserve">Исполнение финансового плана ДНТ "КП "Согласие" за период с июня 2016 по май  2017 года </t>
  </si>
  <si>
    <t>Статьи поступления денежных средств</t>
  </si>
  <si>
    <t>Лимит на год</t>
  </si>
  <si>
    <t>Ост денег</t>
  </si>
  <si>
    <t>июнь</t>
  </si>
  <si>
    <t>июль</t>
  </si>
  <si>
    <t>август</t>
  </si>
  <si>
    <t>сентябрь</t>
  </si>
  <si>
    <t>октябрь</t>
  </si>
  <si>
    <t>ноябрь</t>
  </si>
  <si>
    <t>Итого за 6 мес.</t>
  </si>
  <si>
    <t>Бюджет          за 6 мес.</t>
  </si>
  <si>
    <t>Недобор(-) Перевыполн.(+)</t>
  </si>
  <si>
    <t xml:space="preserve"> 01.06.16</t>
  </si>
  <si>
    <t>декабрь</t>
  </si>
  <si>
    <t>январь</t>
  </si>
  <si>
    <t>февраль</t>
  </si>
  <si>
    <t>март</t>
  </si>
  <si>
    <t>апрель</t>
  </si>
  <si>
    <t>май</t>
  </si>
  <si>
    <t>Поступл. ден ср. от сбора член. взнос.</t>
  </si>
  <si>
    <t>ЦФ вступит.  взнос новых членов</t>
  </si>
  <si>
    <t>ЦФ взнос на содерж. дор. (опл.въезда)</t>
  </si>
  <si>
    <t>Пени за несв. уплату член взн.+ штраф</t>
  </si>
  <si>
    <t>Коммерч деят. +договора на обслуж.</t>
  </si>
  <si>
    <t xml:space="preserve">      ИТОГО ВЗНОСЫ И ДОХОДЫ</t>
  </si>
  <si>
    <t>Статьи расходования денежных средств</t>
  </si>
  <si>
    <t>Экономия(+)    Перерасход(-)</t>
  </si>
  <si>
    <t>Общехозяйственные расходы</t>
  </si>
  <si>
    <t>Программное обеспечение</t>
  </si>
  <si>
    <t>Услуги связи</t>
  </si>
  <si>
    <t>Юридические услуги</t>
  </si>
  <si>
    <t>Заработная плата    (15 человек)</t>
  </si>
  <si>
    <t>Премиальный фонд</t>
  </si>
  <si>
    <t>Налог с ФОТ</t>
  </si>
  <si>
    <t>Приобрет. инструмент, инвент.,оборуд</t>
  </si>
  <si>
    <t>Вывоз мусора</t>
  </si>
  <si>
    <t>Содержание охраны</t>
  </si>
  <si>
    <t>Содержание газового оборудования</t>
  </si>
  <si>
    <t>Содержание сетей водоснабжения</t>
  </si>
  <si>
    <t>Содерж. сетей канализ. и ремонт ОС</t>
  </si>
  <si>
    <t>Содержание сетей электроснабжения</t>
  </si>
  <si>
    <t>Э/энергия на общие нужды</t>
  </si>
  <si>
    <t>Технические и коммерческие потери</t>
  </si>
  <si>
    <t>Содержание дорог и уборка территор.</t>
  </si>
  <si>
    <t>Благоустройство территории</t>
  </si>
  <si>
    <t>Оформление земель общего польз.</t>
  </si>
  <si>
    <t>Резервный фонд 5%</t>
  </si>
  <si>
    <t xml:space="preserve">     ИТОГО РАСХОДЫ</t>
  </si>
  <si>
    <t>КОММЕНТАРИИ к статьям с перерасходом:</t>
  </si>
  <si>
    <t>ВЫВОЗ МУСОРА:</t>
  </si>
  <si>
    <t>Перерасход в июле связан с уплатой налога на негативное возд. на окруж среду за 2 кв. в сумме 80610 руб. и запретом на вывоз мусора в лес</t>
  </si>
  <si>
    <t>Финансовый год:</t>
  </si>
  <si>
    <t>2022-2023гг.</t>
  </si>
  <si>
    <t>Руб.</t>
  </si>
  <si>
    <t>Лимит на месяц</t>
  </si>
  <si>
    <t>Остаток на начало периода</t>
  </si>
  <si>
    <t>Поступл. ден ср. от сбора ЧВ</t>
  </si>
  <si>
    <t>Поступл. оплаты за въезд, пропуска,          % по депозитам</t>
  </si>
  <si>
    <t xml:space="preserve">Поступление оплаты по коммерч. дог. </t>
  </si>
  <si>
    <t>Средства от газовой целевой программы</t>
  </si>
  <si>
    <t>ИТОГО ВЗНОСЫ И ДОХОДЫ</t>
  </si>
  <si>
    <t>ИТОГО С ВХОДЯЩИМ ОСТАТКОМ</t>
  </si>
  <si>
    <t xml:space="preserve">Заработная плата </t>
  </si>
  <si>
    <t>Канализация</t>
  </si>
  <si>
    <t>Электроснабжение</t>
  </si>
  <si>
    <t xml:space="preserve"> </t>
  </si>
  <si>
    <t>Ямочный ремонт дорог</t>
  </si>
  <si>
    <t>х</t>
  </si>
  <si>
    <t>Фонд поощрения ПП</t>
  </si>
  <si>
    <t>Социальн. налоги с Фонда поощр. ПП</t>
  </si>
  <si>
    <t>Аудиторская проверка</t>
  </si>
  <si>
    <t>ИТОГО РАСХОДЫ НА СОДЕРЖАНИЕ ТСН:</t>
  </si>
  <si>
    <t>РАСХОДЫ НА РАЗВИТИЕ ТСН, в том числе:</t>
  </si>
  <si>
    <t>Ремонт водопровода</t>
  </si>
  <si>
    <t>Дополнительные поступления на ремонт водопровода</t>
  </si>
  <si>
    <t>Лицензирование скважин</t>
  </si>
  <si>
    <t>Новая скважина</t>
  </si>
  <si>
    <t>Оформление земли</t>
  </si>
  <si>
    <t>Отвал на второй трактор</t>
  </si>
  <si>
    <t>Два насоса второго подъема</t>
  </si>
  <si>
    <t>Финансовый план ДНТ "КП"Согласие" на 2016-2017 гг</t>
  </si>
  <si>
    <t xml:space="preserve">Исполнение финансового плана за период с июня 2016 по май  2017 года </t>
  </si>
  <si>
    <t xml:space="preserve">  Статья поступления денежных средств</t>
  </si>
  <si>
    <t>Бюджет на 2016/2017 гг.Лимит на</t>
  </si>
  <si>
    <t xml:space="preserve">Месячный </t>
  </si>
  <si>
    <t>Фактически</t>
  </si>
  <si>
    <t xml:space="preserve">итого с </t>
  </si>
  <si>
    <t>бюджет</t>
  </si>
  <si>
    <t>Поступление денеж средств от сбора член взноса</t>
  </si>
  <si>
    <t>ЦФ вступительный  взнос новых членов</t>
  </si>
  <si>
    <t>ЦФ Взнос на содержание дорог (оплата въезда)</t>
  </si>
  <si>
    <t>ЦФ взнос на реконструкцию газопровода</t>
  </si>
  <si>
    <t>Пени за несвоевр уплату член взносов+ штраф</t>
  </si>
  <si>
    <t>Коммерч деятельн +договора на обслуживание</t>
  </si>
  <si>
    <t xml:space="preserve">      ИТОГО</t>
  </si>
  <si>
    <t xml:space="preserve">   Расходная часть финансового плана по статьям (использование член взносов)</t>
  </si>
  <si>
    <t>экономия</t>
  </si>
  <si>
    <t>Приобретение инструмент, инвентарь,оборуд</t>
  </si>
  <si>
    <t>Содержание сетей канализ. и рем.очист. сооруж.</t>
  </si>
  <si>
    <t>Резерв оборот ср-в на покрытие несвоеврем опл</t>
  </si>
  <si>
    <t>Содержание дорог и уборка территории</t>
  </si>
  <si>
    <t>Оформление земель общего пользования</t>
  </si>
  <si>
    <t xml:space="preserve"> ИТОГО РАСХОДЫ</t>
  </si>
  <si>
    <t>ИТОГО</t>
  </si>
  <si>
    <t>АУПС</t>
  </si>
  <si>
    <t>Личн. а/транспорт</t>
  </si>
  <si>
    <t xml:space="preserve">Обслуж банка </t>
  </si>
  <si>
    <t>Бензин Аи-92</t>
  </si>
  <si>
    <t>Бензин Аи-95</t>
  </si>
  <si>
    <t>Вода питьевая</t>
  </si>
  <si>
    <t>Канцтовары</t>
  </si>
  <si>
    <t>Объявления, пропуска</t>
  </si>
  <si>
    <t>Почтовые отправления</t>
  </si>
  <si>
    <t>Рутокен</t>
  </si>
  <si>
    <t>губки д/посуды</t>
  </si>
  <si>
    <t>свеча зажигания</t>
  </si>
  <si>
    <t>Оформление доверенности</t>
  </si>
  <si>
    <t>клей д/керамогранита</t>
  </si>
  <si>
    <t>шайбы, болты</t>
  </si>
  <si>
    <t>перчатки</t>
  </si>
  <si>
    <t>гидроизол, мастика, праймер, труба, профиль, лист</t>
  </si>
  <si>
    <t>Обновление 1С</t>
  </si>
  <si>
    <t>Сайт</t>
  </si>
  <si>
    <t>СБИС отчетность</t>
  </si>
  <si>
    <t>Настройка роутера</t>
  </si>
  <si>
    <t>Интернет</t>
  </si>
  <si>
    <t>МТС</t>
  </si>
  <si>
    <t>Мегафон</t>
  </si>
  <si>
    <t>Заработная плата</t>
  </si>
  <si>
    <t>Заработная плата, отпускные</t>
  </si>
  <si>
    <t>Юрист</t>
  </si>
  <si>
    <t>Выплата премий сотрудникам</t>
  </si>
  <si>
    <t>Налоги в   ПФР, ФСС ФФОМС</t>
  </si>
  <si>
    <t>б/л</t>
  </si>
  <si>
    <t>Пени, штрафы</t>
  </si>
  <si>
    <t>Приобретение инструментов и хоз инвентаря</t>
  </si>
  <si>
    <t>ИТОГО:</t>
  </si>
  <si>
    <t>Сверла, бур</t>
  </si>
  <si>
    <t>гаечные ключи</t>
  </si>
  <si>
    <t>сверло, метчик, держатель</t>
  </si>
  <si>
    <t>за июнь</t>
  </si>
  <si>
    <t>мусор</t>
  </si>
  <si>
    <t>ветки</t>
  </si>
  <si>
    <t>Содержание сетей канализации</t>
  </si>
  <si>
    <t>Откачка МТК</t>
  </si>
  <si>
    <t>илосос</t>
  </si>
  <si>
    <t>арматура</t>
  </si>
  <si>
    <t>Возмещение затрат Согласием-2</t>
  </si>
  <si>
    <t>Электроэнергия на общие нужды</t>
  </si>
  <si>
    <t>Возмещение затрат на эл.эн.</t>
  </si>
  <si>
    <t>кронштейны д/светильников</t>
  </si>
  <si>
    <t>светильник уличный</t>
  </si>
  <si>
    <t>изолента</t>
  </si>
  <si>
    <t>стяжки</t>
  </si>
  <si>
    <t>зажим винтовой</t>
  </si>
  <si>
    <t>натяжитель д/СИП</t>
  </si>
  <si>
    <t>шланг бензостойкий</t>
  </si>
  <si>
    <t>газ</t>
  </si>
  <si>
    <t>хомуты</t>
  </si>
  <si>
    <t xml:space="preserve">Благоустройство территории </t>
  </si>
  <si>
    <t>Бензин АИ 92</t>
  </si>
  <si>
    <t>Бензин АИ 95</t>
  </si>
  <si>
    <t>Дт</t>
  </si>
  <si>
    <t>катушка д/триммера</t>
  </si>
  <si>
    <t>люк конусный</t>
  </si>
  <si>
    <t>газонная трава</t>
  </si>
  <si>
    <t>кисти, краска</t>
  </si>
  <si>
    <t>катушка д/триммера, храповик, кикстартеры</t>
  </si>
  <si>
    <t>саморезы, диск, винты, шайбы, наждачка</t>
  </si>
  <si>
    <t>Резервный фонд</t>
  </si>
  <si>
    <t>Компенсация штрафа С2</t>
  </si>
  <si>
    <t>Спецодежда</t>
  </si>
  <si>
    <t>юр. Услуги</t>
  </si>
  <si>
    <t>рег.оператор</t>
  </si>
  <si>
    <t>фискальный накопитель</t>
  </si>
  <si>
    <t>компенсация С2 анализа сточн.вод</t>
  </si>
  <si>
    <t>зеркало дорожное</t>
  </si>
  <si>
    <t>ремонт трактора</t>
  </si>
  <si>
    <t>транспортный налог</t>
  </si>
  <si>
    <t>дор. Знаки</t>
  </si>
  <si>
    <t>УСН</t>
  </si>
  <si>
    <t>водный налог</t>
  </si>
  <si>
    <t>Анкерный болт, шайба, гайка</t>
  </si>
  <si>
    <t>мешки, стрейч, скотч, маркер</t>
  </si>
  <si>
    <t>Дизель</t>
  </si>
  <si>
    <t>шланг пвх трактор</t>
  </si>
  <si>
    <t>профиль</t>
  </si>
  <si>
    <t>круг лепестковый, саморезы, проушина</t>
  </si>
  <si>
    <t>растворитель, краска</t>
  </si>
  <si>
    <t>саморезы кровельные</t>
  </si>
  <si>
    <t>тарелка опроная пластиковая</t>
  </si>
  <si>
    <t>фанера, антисептик, шайбы, гайки</t>
  </si>
  <si>
    <t>лист профильный</t>
  </si>
  <si>
    <t>жалюзи</t>
  </si>
  <si>
    <t>ремонт принтера</t>
  </si>
  <si>
    <t>выключатель автоматический</t>
  </si>
  <si>
    <t>грабли, черенки</t>
  </si>
  <si>
    <t>катушка триммер</t>
  </si>
  <si>
    <t>щиток защитный, минивалик</t>
  </si>
  <si>
    <t>ремонт газонокосилки</t>
  </si>
  <si>
    <t>реконструкция 3 КПП</t>
  </si>
  <si>
    <t>анализ воды</t>
  </si>
  <si>
    <t>госпошлина</t>
  </si>
  <si>
    <t>аренда помещения у С2</t>
  </si>
  <si>
    <t>диагностика компьютера</t>
  </si>
  <si>
    <t>автокран</t>
  </si>
  <si>
    <t>Компенсация С2 на ремонт эл.двигателя</t>
  </si>
  <si>
    <t>ВАГО соединения</t>
  </si>
  <si>
    <t>Магнитный пускатель</t>
  </si>
  <si>
    <t>Гильзы, термоусадка</t>
  </si>
  <si>
    <t>сетевой адаптер</t>
  </si>
  <si>
    <t>адаптер WI-FI</t>
  </si>
  <si>
    <t>ключи</t>
  </si>
  <si>
    <t>удлинители</t>
  </si>
  <si>
    <t>замок</t>
  </si>
  <si>
    <t>бита</t>
  </si>
  <si>
    <t>круг отрезной по металлу</t>
  </si>
  <si>
    <t>электросчетчик</t>
  </si>
  <si>
    <t>автомат</t>
  </si>
  <si>
    <t>черенок</t>
  </si>
  <si>
    <t>перепрошивка картриджа принтера</t>
  </si>
  <si>
    <t>грунт-эмаль по ржавчине</t>
  </si>
  <si>
    <t>ручка валика</t>
  </si>
  <si>
    <t>Бензин АИ-92</t>
  </si>
  <si>
    <t>очмчтитель карбюратора</t>
  </si>
  <si>
    <t>автолампы</t>
  </si>
  <si>
    <t>опора в сборе</t>
  </si>
  <si>
    <t>прожектор</t>
  </si>
  <si>
    <t>лампы</t>
  </si>
  <si>
    <t>ключ трубный</t>
  </si>
  <si>
    <t>аренда экскаватора</t>
  </si>
  <si>
    <t>подготовка техплана</t>
  </si>
  <si>
    <t>землеустроительное исследование</t>
  </si>
  <si>
    <t>измельчитель веток</t>
  </si>
  <si>
    <t>удаление деревьев</t>
  </si>
  <si>
    <t>гидрозатвор</t>
  </si>
  <si>
    <t>ОСАГО трактор</t>
  </si>
  <si>
    <t>швабра</t>
  </si>
  <si>
    <t>диски по мет, электроды</t>
  </si>
  <si>
    <t>саморез кровельный</t>
  </si>
  <si>
    <t>фанера</t>
  </si>
  <si>
    <t>пакеты для мусора</t>
  </si>
  <si>
    <t>фал капрон</t>
  </si>
  <si>
    <t>сигнальная лента</t>
  </si>
  <si>
    <t>арматура 12</t>
  </si>
  <si>
    <t>мешки белые</t>
  </si>
  <si>
    <t>нипель</t>
  </si>
  <si>
    <t>веревка капроновая</t>
  </si>
  <si>
    <t>шланг кислородный</t>
  </si>
  <si>
    <t>муфта ПНД</t>
  </si>
  <si>
    <t>самокл. Силик. Лента</t>
  </si>
  <si>
    <t>уплотнитель</t>
  </si>
  <si>
    <t>сучкорез</t>
  </si>
  <si>
    <t>удлиннитель</t>
  </si>
  <si>
    <t>лампочки</t>
  </si>
  <si>
    <t>хомут ремонтный</t>
  </si>
  <si>
    <t>Насос ЭЦВ 8-40-90 нрк</t>
  </si>
  <si>
    <t>Шлагбаум</t>
  </si>
  <si>
    <t>Осенняя ярмарка</t>
  </si>
  <si>
    <t>шестерни и вал</t>
  </si>
  <si>
    <t>запчасти трактор</t>
  </si>
  <si>
    <t>песок мытый</t>
  </si>
  <si>
    <t>противогололедные материалы</t>
  </si>
  <si>
    <t>диагностика и ремонт шлагбаума</t>
  </si>
  <si>
    <t>диск по дереву, саморезы</t>
  </si>
  <si>
    <t>батарейка крона</t>
  </si>
  <si>
    <t>объявление по поиску сотрудника</t>
  </si>
  <si>
    <t>электроды</t>
  </si>
  <si>
    <t>круг отр. По мет.</t>
  </si>
  <si>
    <t>замок врезной</t>
  </si>
  <si>
    <t>съемник подшипников</t>
  </si>
  <si>
    <t>грабли, веревка</t>
  </si>
  <si>
    <t>аренда автокрана</t>
  </si>
  <si>
    <t>уничтожение архива</t>
  </si>
  <si>
    <t>Материальная помощь Чижик Т.Ф.</t>
  </si>
  <si>
    <t>ремонт и з/ч Ларгус</t>
  </si>
  <si>
    <t>спирали</t>
  </si>
  <si>
    <t>электромонтажные работы</t>
  </si>
  <si>
    <t>настройка преобразрват. Частоты</t>
  </si>
  <si>
    <t>госпошлина ТО трактора</t>
  </si>
  <si>
    <t>лопаты, метелки, омыватель</t>
  </si>
  <si>
    <t>пакеты, целофан</t>
  </si>
  <si>
    <t>умывальник, сверла, излента</t>
  </si>
  <si>
    <t>аккумулятор</t>
  </si>
  <si>
    <t>круги отрезные, подводка</t>
  </si>
  <si>
    <t>0-шина, прожектор</t>
  </si>
  <si>
    <t>провод ПВС, эл.розетки</t>
  </si>
  <si>
    <t>хомуты кабельные, клемник</t>
  </si>
  <si>
    <t>светоотражающая лента</t>
  </si>
  <si>
    <t>шторка</t>
  </si>
  <si>
    <t>провод сип</t>
  </si>
  <si>
    <t>ледоруб</t>
  </si>
  <si>
    <t>болты, гайки, шайбы, электроды</t>
  </si>
  <si>
    <t>изготовление ключей</t>
  </si>
  <si>
    <t>личинка</t>
  </si>
  <si>
    <t>круг отрезной</t>
  </si>
  <si>
    <t>клавиша обогрева д/трактора</t>
  </si>
  <si>
    <t>головка торцевая</t>
  </si>
  <si>
    <t>лампа д/Ларгуса</t>
  </si>
  <si>
    <t>Компенсация С2 на очистку угольного фильтра</t>
  </si>
  <si>
    <t>Компенсация С2 на завоз бактерий</t>
  </si>
  <si>
    <t>Россети технологическое присоединение</t>
  </si>
  <si>
    <t>шестеренка</t>
  </si>
  <si>
    <t>насос фекальный</t>
  </si>
  <si>
    <t>урны д/собачих площадок</t>
  </si>
  <si>
    <t>материалы для заливки катка</t>
  </si>
  <si>
    <t>рукав пожарный</t>
  </si>
  <si>
    <t>материалы д/калитки</t>
  </si>
  <si>
    <t>эл.магнитный замок</t>
  </si>
  <si>
    <t>лампы, эл.товары</t>
  </si>
  <si>
    <t>сальник</t>
  </si>
  <si>
    <t>герметизация приборов водоотведения</t>
  </si>
  <si>
    <t>автомат, кнопка звонка</t>
  </si>
  <si>
    <t>тепловентилятор</t>
  </si>
  <si>
    <t>д/ремонта роутера</t>
  </si>
  <si>
    <t>осаго трактор</t>
  </si>
  <si>
    <t>монтаж видеокамеры конт. Площ. На 2 кпп</t>
  </si>
  <si>
    <t>инф. Указатель</t>
  </si>
  <si>
    <t>анализ сточных вод</t>
  </si>
  <si>
    <t>водонагреватель для ОС</t>
  </si>
  <si>
    <t>оценка стоимости гозопровода</t>
  </si>
  <si>
    <t>кадастровые работы</t>
  </si>
  <si>
    <t>замок на спорт. Площ.</t>
  </si>
  <si>
    <t>д/шлагбаума</t>
  </si>
  <si>
    <t>д/ремонта тракторов</t>
  </si>
  <si>
    <t>подключение подогревателя сточных вод</t>
  </si>
  <si>
    <t>ремонт и утепление 3кпп</t>
  </si>
  <si>
    <t>замок на весеннюю</t>
  </si>
  <si>
    <t>ключи запасные то весенней</t>
  </si>
  <si>
    <t>покраска, сантехника, утепление</t>
  </si>
  <si>
    <t>канализ. В здании админ-ии</t>
  </si>
  <si>
    <t>утепление канал-ии</t>
  </si>
  <si>
    <t>д/смесителя охрана</t>
  </si>
  <si>
    <t>ВД-40</t>
  </si>
  <si>
    <t>сварочный аппарат</t>
  </si>
  <si>
    <t>эл. Котел</t>
  </si>
  <si>
    <t>светильник д/охраны</t>
  </si>
  <si>
    <t>лампы ул. Освещения</t>
  </si>
  <si>
    <t>уличн. Освещение</t>
  </si>
  <si>
    <t>подключение подогревателя</t>
  </si>
  <si>
    <t>кнопка звонка</t>
  </si>
  <si>
    <t>врезной замок</t>
  </si>
  <si>
    <t>защелка на 3 кпп</t>
  </si>
  <si>
    <t>"быстрый запуск"</t>
  </si>
  <si>
    <t>переходник д/котла</t>
  </si>
  <si>
    <t>герметик</t>
  </si>
  <si>
    <t>мешки д/мусора, фильтр д/воды</t>
  </si>
  <si>
    <t>ремонт корпуса откач. Насоса</t>
  </si>
  <si>
    <t>веревка</t>
  </si>
  <si>
    <t>шины д/трактора</t>
  </si>
  <si>
    <t>сцепление д/трактора</t>
  </si>
  <si>
    <t>обучение электрика</t>
  </si>
  <si>
    <t>батарейки, календарь</t>
  </si>
  <si>
    <t>д/трактора шайбы, гайки</t>
  </si>
  <si>
    <t>краска для каркаса</t>
  </si>
  <si>
    <t>мешки д/мусора</t>
  </si>
  <si>
    <t>металл для каркаса</t>
  </si>
  <si>
    <t>саморезы</t>
  </si>
  <si>
    <t>пружина</t>
  </si>
  <si>
    <t>светильник</t>
  </si>
  <si>
    <t>Исполнение финансового плана ТСН "КП "Согласие" за июнь 2022 - март 2023</t>
  </si>
  <si>
    <t>ОСАГО Ларгус</t>
  </si>
  <si>
    <t>Компенсация С2 на материалы для ОС</t>
  </si>
  <si>
    <t>Компенсация 50% штрафа</t>
  </si>
  <si>
    <t>Плата за предоставление сведений из ЕГРН</t>
  </si>
  <si>
    <t>З/ч для трактора</t>
  </si>
  <si>
    <t>бытовые товары</t>
  </si>
  <si>
    <t>отпугиватель для собак</t>
  </si>
  <si>
    <t>подшипники</t>
  </si>
  <si>
    <t>флешка</t>
  </si>
  <si>
    <t>насос для перекачки топлива</t>
  </si>
  <si>
    <t>ремонт компьютеров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</si>
</sst>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35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</font>
    <font>
      <sz val="11"/>
      <color indexed="64"/>
      <name val="Calibri"/>
    </font>
    <font>
      <b/>
      <sz val="11"/>
      <color indexed="64"/>
      <name val="Calibri"/>
    </font>
    <font>
      <b/>
      <sz val="14"/>
      <color indexed="64"/>
      <name val="Arial"/>
    </font>
    <font>
      <b/>
      <sz val="11"/>
      <color indexed="64"/>
      <name val="Arial"/>
    </font>
    <font>
      <b/>
      <sz val="12"/>
      <color indexed="64"/>
      <name val="Arial"/>
    </font>
    <font>
      <b/>
      <sz val="12"/>
      <color indexed="64"/>
      <name val="Calibri"/>
    </font>
    <font>
      <b/>
      <i/>
      <sz val="14"/>
      <color indexed="64"/>
      <name val="Calibri"/>
    </font>
    <font>
      <sz val="12"/>
      <color indexed="64"/>
      <name val="Calibri"/>
    </font>
    <font>
      <sz val="12"/>
      <name val="Calibri"/>
    </font>
    <font>
      <b/>
      <sz val="12"/>
      <name val="Calibri"/>
    </font>
    <font>
      <i/>
      <sz val="12"/>
      <color indexed="64"/>
      <name val="Calibri"/>
    </font>
    <font>
      <sz val="11"/>
      <color indexed="64"/>
      <name val="Arial"/>
    </font>
    <font>
      <b/>
      <i/>
      <sz val="10"/>
      <color indexed="64"/>
      <name val="Arial"/>
    </font>
    <font>
      <b/>
      <i/>
      <sz val="10"/>
      <color indexed="64"/>
      <name val="Calibri"/>
    </font>
    <font>
      <b/>
      <i/>
      <u/>
      <sz val="11"/>
      <color indexed="64"/>
      <name val="Calibri"/>
    </font>
    <font>
      <sz val="11"/>
      <name val="Calibri"/>
    </font>
    <font>
      <sz val="11"/>
      <name val="Arial"/>
    </font>
    <font>
      <sz val="11"/>
      <color indexed="55"/>
      <name val="Calibri"/>
    </font>
    <font>
      <sz val="8"/>
      <name val="Calibri"/>
    </font>
    <font>
      <b/>
      <sz val="11"/>
      <name val="Calibri"/>
    </font>
    <font>
      <b/>
      <i/>
      <sz val="12"/>
      <color indexed="64"/>
      <name val="Calibri"/>
    </font>
    <font>
      <b/>
      <i/>
      <sz val="11"/>
      <color indexed="64"/>
      <name val="Calibri"/>
    </font>
    <font>
      <i/>
      <sz val="11"/>
      <color indexed="64"/>
      <name val="Calibri"/>
    </font>
    <font>
      <b/>
      <i/>
      <sz val="11"/>
      <color indexed="17"/>
      <name val="Calibri"/>
    </font>
    <font>
      <b/>
      <sz val="10"/>
      <name val="Arial Cyr"/>
    </font>
    <font>
      <sz val="10"/>
      <color indexed="2"/>
      <name val="Arial Cyr"/>
    </font>
    <font>
      <b/>
      <sz val="14"/>
      <color indexed="64"/>
      <name val="Calibri"/>
    </font>
    <font>
      <sz val="10"/>
      <color indexed="64"/>
      <name val="Arial"/>
    </font>
    <font>
      <sz val="11"/>
      <color indexed="10"/>
      <name val="Calibri"/>
      <family val="2"/>
      <charset val="204"/>
    </font>
    <font>
      <sz val="12"/>
      <name val="Calibri"/>
      <family val="2"/>
      <charset val="204"/>
    </font>
    <font>
      <sz val="10"/>
      <color indexed="10"/>
      <name val="Arial Cyr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45"/>
      </patternFill>
    </fill>
    <fill>
      <patternFill patternType="solid">
        <fgColor indexed="65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42"/>
        <bgColor indexed="42"/>
      </patternFill>
    </fill>
    <fill>
      <patternFill patternType="solid">
        <fgColor indexed="3"/>
        <bgColor indexed="3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43"/>
      </patternFill>
    </fill>
    <fill>
      <patternFill patternType="solid">
        <fgColor indexed="5"/>
        <bgColor indexed="5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27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Protection="0"/>
  </cellStyleXfs>
  <cellXfs count="377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2" xfId="0" applyFont="1" applyFill="1" applyBorder="1" applyAlignment="1">
      <alignment wrapText="1"/>
    </xf>
    <xf numFmtId="0" fontId="0" fillId="0" borderId="3" xfId="0" applyBorder="1"/>
    <xf numFmtId="0" fontId="5" fillId="0" borderId="3" xfId="0" applyFont="1" applyBorder="1" applyAlignment="1">
      <alignment horizontal="center" vertical="center"/>
    </xf>
    <xf numFmtId="0" fontId="0" fillId="3" borderId="3" xfId="0" applyFill="1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1" fillId="0" borderId="6" xfId="0" applyFont="1" applyBorder="1"/>
    <xf numFmtId="0" fontId="11" fillId="0" borderId="7" xfId="0" applyFont="1" applyBorder="1"/>
    <xf numFmtId="3" fontId="9" fillId="4" borderId="8" xfId="0" applyNumberFormat="1" applyFont="1" applyFill="1" applyBorder="1" applyAlignment="1">
      <alignment horizontal="center"/>
    </xf>
    <xf numFmtId="3" fontId="9" fillId="5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/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center" vertical="center"/>
    </xf>
    <xf numFmtId="3" fontId="11" fillId="6" borderId="8" xfId="0" applyNumberFormat="1" applyFont="1" applyFill="1" applyBorder="1" applyAlignment="1">
      <alignment horizontal="center" vertical="center"/>
    </xf>
    <xf numFmtId="3" fontId="11" fillId="0" borderId="8" xfId="0" applyNumberFormat="1" applyFont="1" applyBorder="1"/>
    <xf numFmtId="3" fontId="12" fillId="3" borderId="8" xfId="0" applyNumberFormat="1" applyFont="1" applyFill="1" applyBorder="1"/>
    <xf numFmtId="3" fontId="9" fillId="0" borderId="8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9" fillId="7" borderId="8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Font="1" applyBorder="1"/>
    <xf numFmtId="0" fontId="11" fillId="0" borderId="8" xfId="0" applyFont="1" applyBorder="1" applyAlignment="1">
      <alignment horizontal="center" vertical="center"/>
    </xf>
    <xf numFmtId="0" fontId="12" fillId="3" borderId="8" xfId="0" applyFont="1" applyFill="1" applyBorder="1"/>
    <xf numFmtId="0" fontId="9" fillId="7" borderId="9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1" fontId="9" fillId="5" borderId="8" xfId="0" applyNumberFormat="1" applyFont="1" applyFill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11" fillId="0" borderId="8" xfId="0" applyNumberFormat="1" applyFont="1" applyBorder="1" applyAlignment="1">
      <alignment horizontal="center" vertical="center"/>
    </xf>
    <xf numFmtId="0" fontId="9" fillId="7" borderId="8" xfId="0" applyFont="1" applyFill="1" applyBorder="1" applyAlignment="1">
      <alignment horizontal="center"/>
    </xf>
    <xf numFmtId="0" fontId="11" fillId="0" borderId="10" xfId="0" applyFont="1" applyBorder="1"/>
    <xf numFmtId="0" fontId="11" fillId="0" borderId="11" xfId="0" applyFont="1" applyBorder="1"/>
    <xf numFmtId="0" fontId="11" fillId="0" borderId="12" xfId="0" applyFont="1" applyBorder="1"/>
    <xf numFmtId="0" fontId="11" fillId="0" borderId="10" xfId="0" applyFont="1" applyBorder="1" applyAlignment="1">
      <alignment horizontal="center"/>
    </xf>
    <xf numFmtId="3" fontId="11" fillId="2" borderId="10" xfId="0" applyNumberFormat="1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0" xfId="0" applyFont="1" applyFill="1" applyBorder="1"/>
    <xf numFmtId="0" fontId="11" fillId="2" borderId="10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3" fontId="11" fillId="0" borderId="10" xfId="0" applyNumberFormat="1" applyFont="1" applyBorder="1"/>
    <xf numFmtId="0" fontId="12" fillId="3" borderId="10" xfId="0" applyFont="1" applyFill="1" applyBorder="1"/>
    <xf numFmtId="3" fontId="9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7" borderId="10" xfId="0" applyNumberFormat="1" applyFont="1" applyFill="1" applyBorder="1" applyAlignment="1">
      <alignment horizontal="center"/>
    </xf>
    <xf numFmtId="3" fontId="9" fillId="4" borderId="5" xfId="0" applyNumberFormat="1" applyFont="1" applyFill="1" applyBorder="1" applyAlignment="1">
      <alignment horizontal="center"/>
    </xf>
    <xf numFmtId="3" fontId="9" fillId="5" borderId="5" xfId="0" applyNumberFormat="1" applyFont="1" applyFill="1" applyBorder="1" applyAlignment="1">
      <alignment horizontal="center"/>
    </xf>
    <xf numFmtId="3" fontId="9" fillId="0" borderId="5" xfId="0" applyNumberFormat="1" applyFont="1" applyBorder="1"/>
    <xf numFmtId="3" fontId="9" fillId="2" borderId="5" xfId="0" applyNumberFormat="1" applyFont="1" applyFill="1" applyBorder="1" applyAlignment="1">
      <alignment horizontal="center"/>
    </xf>
    <xf numFmtId="3" fontId="11" fillId="0" borderId="5" xfId="0" applyNumberFormat="1" applyFont="1" applyBorder="1"/>
    <xf numFmtId="3" fontId="12" fillId="3" borderId="5" xfId="0" applyNumberFormat="1" applyFont="1" applyFill="1" applyBorder="1"/>
    <xf numFmtId="3" fontId="9" fillId="0" borderId="5" xfId="0" applyNumberFormat="1" applyFont="1" applyBorder="1" applyAlignment="1">
      <alignment horizontal="center"/>
    </xf>
    <xf numFmtId="3" fontId="9" fillId="7" borderId="5" xfId="0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7" xfId="0" applyFont="1" applyBorder="1" applyAlignment="1">
      <alignment horizontal="center" vertical="center"/>
    </xf>
    <xf numFmtId="0" fontId="13" fillId="3" borderId="7" xfId="0" applyFont="1" applyFill="1" applyBorder="1"/>
    <xf numFmtId="0" fontId="9" fillId="0" borderId="8" xfId="0" applyFont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9" fillId="8" borderId="13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3" fontId="11" fillId="9" borderId="8" xfId="0" applyNumberFormat="1" applyFont="1" applyFill="1" applyBorder="1" applyAlignment="1">
      <alignment horizontal="center"/>
    </xf>
    <xf numFmtId="3" fontId="9" fillId="8" borderId="8" xfId="0" applyNumberFormat="1" applyFont="1" applyFill="1" applyBorder="1" applyAlignment="1">
      <alignment horizontal="center"/>
    </xf>
    <xf numFmtId="0" fontId="11" fillId="0" borderId="5" xfId="0" applyFont="1" applyBorder="1"/>
    <xf numFmtId="3" fontId="11" fillId="9" borderId="5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12" xfId="0" applyBorder="1"/>
    <xf numFmtId="3" fontId="9" fillId="4" borderId="10" xfId="0" applyNumberFormat="1" applyFont="1" applyFill="1" applyBorder="1" applyAlignment="1">
      <alignment horizontal="center"/>
    </xf>
    <xf numFmtId="3" fontId="9" fillId="5" borderId="10" xfId="0" applyNumberFormat="1" applyFont="1" applyFill="1" applyBorder="1" applyAlignment="1">
      <alignment horizontal="center"/>
    </xf>
    <xf numFmtId="3" fontId="11" fillId="9" borderId="10" xfId="0" applyNumberFormat="1" applyFont="1" applyFill="1" applyBorder="1" applyAlignment="1">
      <alignment horizontal="center"/>
    </xf>
    <xf numFmtId="3" fontId="12" fillId="3" borderId="10" xfId="0" applyNumberFormat="1" applyFont="1" applyFill="1" applyBorder="1"/>
    <xf numFmtId="3" fontId="9" fillId="8" borderId="10" xfId="0" applyNumberFormat="1" applyFont="1" applyFill="1" applyBorder="1" applyAlignment="1">
      <alignment horizontal="center"/>
    </xf>
    <xf numFmtId="0" fontId="5" fillId="0" borderId="0" xfId="0" applyFont="1"/>
    <xf numFmtId="3" fontId="9" fillId="9" borderId="5" xfId="0" applyNumberFormat="1" applyFont="1" applyFill="1" applyBorder="1" applyAlignment="1">
      <alignment horizontal="center"/>
    </xf>
    <xf numFmtId="3" fontId="9" fillId="9" borderId="5" xfId="0" applyNumberFormat="1" applyFont="1" applyFill="1" applyBorder="1"/>
    <xf numFmtId="3" fontId="9" fillId="10" borderId="5" xfId="0" applyNumberFormat="1" applyFont="1" applyFill="1" applyBorder="1" applyAlignment="1">
      <alignment horizontal="center" vertical="center"/>
    </xf>
    <xf numFmtId="3" fontId="9" fillId="8" borderId="15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11" borderId="16" xfId="0" applyFont="1" applyFill="1" applyBorder="1"/>
    <xf numFmtId="0" fontId="15" fillId="11" borderId="17" xfId="0" applyFont="1" applyFill="1" applyBorder="1" applyAlignment="1">
      <alignment horizontal="center"/>
    </xf>
    <xf numFmtId="0" fontId="15" fillId="0" borderId="0" xfId="0" applyFont="1"/>
    <xf numFmtId="0" fontId="0" fillId="0" borderId="0" xfId="0" applyAlignment="1">
      <alignment wrapText="1"/>
    </xf>
    <xf numFmtId="164" fontId="0" fillId="0" borderId="0" xfId="2" applyNumberFormat="1" applyFont="1" applyAlignment="1">
      <alignment horizontal="center"/>
    </xf>
    <xf numFmtId="164" fontId="0" fillId="0" borderId="0" xfId="2" applyNumberFormat="1" applyFont="1"/>
    <xf numFmtId="0" fontId="18" fillId="0" borderId="0" xfId="0" applyFont="1" applyAlignment="1">
      <alignment horizontal="right" wrapText="1"/>
    </xf>
    <xf numFmtId="164" fontId="18" fillId="0" borderId="0" xfId="2" applyNumberFormat="1" applyFont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0" fillId="0" borderId="4" xfId="0" applyBorder="1" applyAlignment="1">
      <alignment wrapText="1"/>
    </xf>
    <xf numFmtId="164" fontId="0" fillId="0" borderId="5" xfId="2" applyNumberFormat="1" applyFont="1" applyBorder="1" applyAlignment="1">
      <alignment horizontal="center" vertical="center" wrapText="1"/>
    </xf>
    <xf numFmtId="164" fontId="0" fillId="0" borderId="5" xfId="2" applyNumberFormat="1" applyFont="1" applyBorder="1" applyAlignment="1">
      <alignment horizontal="center" vertical="center"/>
    </xf>
    <xf numFmtId="164" fontId="5" fillId="12" borderId="5" xfId="2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164" fontId="9" fillId="4" borderId="8" xfId="2" applyNumberFormat="1" applyFont="1" applyFill="1" applyBorder="1" applyAlignment="1">
      <alignment horizontal="center"/>
    </xf>
    <xf numFmtId="164" fontId="5" fillId="0" borderId="4" xfId="2" applyNumberFormat="1" applyFont="1" applyBorder="1" applyAlignment="1">
      <alignment horizontal="center" vertical="center" wrapText="1"/>
    </xf>
    <xf numFmtId="164" fontId="9" fillId="5" borderId="8" xfId="2" applyNumberFormat="1" applyFont="1" applyFill="1" applyBorder="1" applyAlignment="1">
      <alignment horizontal="center"/>
    </xf>
    <xf numFmtId="164" fontId="11" fillId="2" borderId="8" xfId="2" applyNumberFormat="1" applyFont="1" applyFill="1" applyBorder="1" applyAlignment="1">
      <alignment horizontal="center"/>
    </xf>
    <xf numFmtId="164" fontId="11" fillId="2" borderId="8" xfId="2" applyNumberFormat="1" applyFont="1" applyFill="1" applyBorder="1"/>
    <xf numFmtId="164" fontId="12" fillId="2" borderId="8" xfId="2" applyNumberFormat="1" applyFont="1" applyFill="1" applyBorder="1" applyAlignment="1">
      <alignment horizontal="center" vertical="center"/>
    </xf>
    <xf numFmtId="164" fontId="11" fillId="2" borderId="8" xfId="2" applyNumberFormat="1" applyFont="1" applyFill="1" applyBorder="1" applyAlignment="1">
      <alignment horizontal="center" vertical="center"/>
    </xf>
    <xf numFmtId="164" fontId="12" fillId="2" borderId="8" xfId="2" applyNumberFormat="1" applyFont="1" applyFill="1" applyBorder="1" applyAlignment="1">
      <alignment horizontal="center"/>
    </xf>
    <xf numFmtId="164" fontId="9" fillId="0" borderId="8" xfId="2" applyNumberFormat="1" applyFont="1" applyBorder="1" applyAlignment="1">
      <alignment horizontal="center"/>
    </xf>
    <xf numFmtId="164" fontId="9" fillId="0" borderId="4" xfId="2" applyNumberFormat="1" applyFont="1" applyBorder="1" applyAlignment="1">
      <alignment horizontal="center"/>
    </xf>
    <xf numFmtId="164" fontId="9" fillId="7" borderId="8" xfId="2" applyNumberFormat="1" applyFont="1" applyFill="1" applyBorder="1" applyAlignment="1">
      <alignment horizontal="center"/>
    </xf>
    <xf numFmtId="164" fontId="9" fillId="4" borderId="3" xfId="2" applyNumberFormat="1" applyFont="1" applyFill="1" applyBorder="1" applyAlignment="1">
      <alignment horizontal="center"/>
    </xf>
    <xf numFmtId="164" fontId="9" fillId="4" borderId="5" xfId="2" applyNumberFormat="1" applyFont="1" applyFill="1" applyBorder="1" applyAlignment="1">
      <alignment horizontal="center"/>
    </xf>
    <xf numFmtId="164" fontId="9" fillId="5" borderId="8" xfId="2" applyNumberFormat="1" applyFont="1" applyFill="1" applyBorder="1" applyAlignment="1">
      <alignment vertical="center"/>
    </xf>
    <xf numFmtId="164" fontId="11" fillId="0" borderId="8" xfId="2" applyNumberFormat="1" applyFont="1" applyBorder="1" applyAlignment="1">
      <alignment horizontal="center"/>
    </xf>
    <xf numFmtId="164" fontId="11" fillId="0" borderId="8" xfId="2" applyNumberFormat="1" applyFont="1" applyBorder="1"/>
    <xf numFmtId="164" fontId="11" fillId="0" borderId="8" xfId="2" applyNumberFormat="1" applyFont="1" applyBorder="1" applyAlignment="1">
      <alignment horizontal="center" vertical="center"/>
    </xf>
    <xf numFmtId="164" fontId="12" fillId="0" borderId="8" xfId="2" applyNumberFormat="1" applyFont="1" applyBorder="1"/>
    <xf numFmtId="164" fontId="9" fillId="0" borderId="8" xfId="2" applyNumberFormat="1" applyFont="1" applyBorder="1" applyAlignment="1">
      <alignment vertical="center"/>
    </xf>
    <xf numFmtId="0" fontId="11" fillId="0" borderId="10" xfId="0" applyFont="1" applyBorder="1" applyAlignment="1">
      <alignment wrapText="1"/>
    </xf>
    <xf numFmtId="164" fontId="9" fillId="4" borderId="10" xfId="2" applyNumberFormat="1" applyFont="1" applyFill="1" applyBorder="1" applyAlignment="1">
      <alignment horizontal="center"/>
    </xf>
    <xf numFmtId="164" fontId="9" fillId="5" borderId="10" xfId="2" applyNumberFormat="1" applyFont="1" applyFill="1" applyBorder="1" applyAlignment="1">
      <alignment horizontal="center"/>
    </xf>
    <xf numFmtId="164" fontId="11" fillId="2" borderId="10" xfId="2" applyNumberFormat="1" applyFont="1" applyFill="1" applyBorder="1" applyAlignment="1">
      <alignment horizontal="center"/>
    </xf>
    <xf numFmtId="164" fontId="9" fillId="0" borderId="10" xfId="2" applyNumberFormat="1" applyFont="1" applyBorder="1" applyAlignment="1">
      <alignment horizontal="center"/>
    </xf>
    <xf numFmtId="164" fontId="9" fillId="0" borderId="11" xfId="2" applyNumberFormat="1" applyFont="1" applyBorder="1" applyAlignment="1">
      <alignment horizontal="center"/>
    </xf>
    <xf numFmtId="164" fontId="9" fillId="7" borderId="10" xfId="2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left" wrapText="1"/>
    </xf>
    <xf numFmtId="164" fontId="9" fillId="5" borderId="15" xfId="2" applyNumberFormat="1" applyFont="1" applyFill="1" applyBorder="1" applyAlignment="1">
      <alignment horizontal="center"/>
    </xf>
    <xf numFmtId="164" fontId="9" fillId="2" borderId="15" xfId="2" applyNumberFormat="1" applyFont="1" applyFill="1" applyBorder="1" applyAlignment="1">
      <alignment horizontal="center"/>
    </xf>
    <xf numFmtId="164" fontId="9" fillId="0" borderId="15" xfId="2" applyNumberFormat="1" applyFont="1" applyBorder="1" applyAlignment="1">
      <alignment horizontal="center"/>
    </xf>
    <xf numFmtId="164" fontId="9" fillId="0" borderId="19" xfId="2" applyNumberFormat="1" applyFont="1" applyBorder="1" applyAlignment="1">
      <alignment horizontal="center"/>
    </xf>
    <xf numFmtId="164" fontId="9" fillId="7" borderId="15" xfId="2" applyNumberFormat="1" applyFont="1" applyFill="1" applyBorder="1" applyAlignment="1">
      <alignment horizontal="center"/>
    </xf>
    <xf numFmtId="3" fontId="0" fillId="0" borderId="0" xfId="0" applyNumberFormat="1"/>
    <xf numFmtId="0" fontId="9" fillId="0" borderId="1" xfId="0" applyFont="1" applyBorder="1" applyAlignment="1">
      <alignment horizontal="left" wrapText="1"/>
    </xf>
    <xf numFmtId="164" fontId="9" fillId="0" borderId="0" xfId="2" applyNumberFormat="1" applyFont="1" applyAlignment="1">
      <alignment horizontal="center"/>
    </xf>
    <xf numFmtId="0" fontId="10" fillId="9" borderId="8" xfId="0" applyFont="1" applyFill="1" applyBorder="1" applyAlignment="1">
      <alignment wrapText="1"/>
    </xf>
    <xf numFmtId="164" fontId="9" fillId="0" borderId="7" xfId="2" applyNumberFormat="1" applyFont="1" applyBorder="1" applyAlignment="1">
      <alignment horizontal="center"/>
    </xf>
    <xf numFmtId="164" fontId="9" fillId="0" borderId="1" xfId="2" applyNumberFormat="1" applyFont="1" applyBorder="1" applyAlignment="1">
      <alignment horizontal="center"/>
    </xf>
    <xf numFmtId="164" fontId="9" fillId="0" borderId="1" xfId="2" applyNumberFormat="1" applyFont="1" applyBorder="1"/>
    <xf numFmtId="164" fontId="9" fillId="0" borderId="1" xfId="2" applyNumberFormat="1" applyFont="1" applyBorder="1" applyAlignment="1">
      <alignment horizontal="center" vertical="center"/>
    </xf>
    <xf numFmtId="164" fontId="14" fillId="0" borderId="1" xfId="2" applyNumberFormat="1" applyFont="1" applyBorder="1" applyAlignment="1">
      <alignment horizontal="center"/>
    </xf>
    <xf numFmtId="164" fontId="9" fillId="8" borderId="8" xfId="2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164" fontId="11" fillId="9" borderId="8" xfId="2" applyNumberFormat="1" applyFont="1" applyFill="1" applyBorder="1" applyAlignment="1">
      <alignment horizontal="center"/>
    </xf>
    <xf numFmtId="164" fontId="9" fillId="0" borderId="5" xfId="2" applyNumberFormat="1" applyFont="1" applyBorder="1" applyAlignment="1">
      <alignment horizontal="center"/>
    </xf>
    <xf numFmtId="164" fontId="9" fillId="8" borderId="8" xfId="2" applyNumberFormat="1" applyFont="1" applyFill="1" applyBorder="1" applyAlignment="1">
      <alignment horizontal="center"/>
    </xf>
    <xf numFmtId="164" fontId="11" fillId="9" borderId="5" xfId="2" applyNumberFormat="1" applyFont="1" applyFill="1" applyBorder="1" applyAlignment="1">
      <alignment horizontal="center"/>
    </xf>
    <xf numFmtId="164" fontId="12" fillId="9" borderId="5" xfId="2" applyNumberFormat="1" applyFont="1" applyFill="1" applyBorder="1" applyAlignment="1">
      <alignment horizontal="center"/>
    </xf>
    <xf numFmtId="164" fontId="9" fillId="13" borderId="4" xfId="2" applyNumberFormat="1" applyFont="1" applyFill="1" applyBorder="1" applyAlignment="1">
      <alignment horizontal="center"/>
    </xf>
    <xf numFmtId="0" fontId="0" fillId="0" borderId="2" xfId="0" applyBorder="1" applyAlignment="1">
      <alignment wrapText="1"/>
    </xf>
    <xf numFmtId="164" fontId="9" fillId="5" borderId="3" xfId="2" applyNumberFormat="1" applyFont="1" applyFill="1" applyBorder="1" applyAlignment="1">
      <alignment horizontal="center"/>
    </xf>
    <xf numFmtId="164" fontId="11" fillId="9" borderId="3" xfId="2" applyNumberFormat="1" applyFont="1" applyFill="1" applyBorder="1" applyAlignment="1">
      <alignment horizontal="center"/>
    </xf>
    <xf numFmtId="164" fontId="9" fillId="5" borderId="5" xfId="2" applyNumberFormat="1" applyFont="1" applyFill="1" applyBorder="1" applyAlignment="1">
      <alignment horizontal="center"/>
    </xf>
    <xf numFmtId="164" fontId="9" fillId="8" borderId="5" xfId="2" applyNumberFormat="1" applyFont="1" applyFill="1" applyBorder="1" applyAlignment="1">
      <alignment horizontal="center"/>
    </xf>
    <xf numFmtId="164" fontId="11" fillId="9" borderId="10" xfId="2" applyNumberFormat="1" applyFont="1" applyFill="1" applyBorder="1" applyAlignment="1">
      <alignment horizontal="center"/>
    </xf>
    <xf numFmtId="164" fontId="9" fillId="13" borderId="10" xfId="2" applyNumberFormat="1" applyFont="1" applyFill="1" applyBorder="1" applyAlignment="1">
      <alignment horizontal="center"/>
    </xf>
    <xf numFmtId="164" fontId="9" fillId="8" borderId="10" xfId="2" applyNumberFormat="1" applyFont="1" applyFill="1" applyBorder="1" applyAlignment="1">
      <alignment horizontal="center"/>
    </xf>
    <xf numFmtId="0" fontId="9" fillId="0" borderId="20" xfId="0" applyFont="1" applyBorder="1" applyAlignment="1">
      <alignment wrapText="1"/>
    </xf>
    <xf numFmtId="164" fontId="9" fillId="4" borderId="14" xfId="2" applyNumberFormat="1" applyFont="1" applyFill="1" applyBorder="1" applyAlignment="1">
      <alignment horizontal="center"/>
    </xf>
    <xf numFmtId="0" fontId="19" fillId="0" borderId="0" xfId="0" applyFont="1"/>
    <xf numFmtId="0" fontId="20" fillId="0" borderId="0" xfId="0" applyFont="1" applyAlignment="1">
      <alignment wrapText="1"/>
    </xf>
    <xf numFmtId="164" fontId="20" fillId="0" borderId="0" xfId="2" applyNumberFormat="1" applyFont="1" applyAlignment="1">
      <alignment horizontal="center"/>
    </xf>
    <xf numFmtId="164" fontId="20" fillId="0" borderId="0" xfId="2" applyNumberFormat="1" applyFont="1"/>
    <xf numFmtId="0" fontId="21" fillId="0" borderId="0" xfId="0" applyFont="1"/>
    <xf numFmtId="0" fontId="19" fillId="0" borderId="0" xfId="0" applyFont="1" applyAlignment="1">
      <alignment wrapText="1"/>
    </xf>
    <xf numFmtId="164" fontId="19" fillId="0" borderId="0" xfId="2" applyNumberFormat="1" applyFont="1" applyAlignment="1">
      <alignment horizontal="center"/>
    </xf>
    <xf numFmtId="164" fontId="19" fillId="0" borderId="0" xfId="2" applyNumberFormat="1" applyFont="1"/>
    <xf numFmtId="164" fontId="22" fillId="0" borderId="0" xfId="2" applyNumberFormat="1" applyFont="1"/>
    <xf numFmtId="164" fontId="23" fillId="0" borderId="0" xfId="2" applyNumberFormat="1" applyFont="1"/>
    <xf numFmtId="164" fontId="23" fillId="0" borderId="0" xfId="2" applyNumberFormat="1" applyFont="1" applyAlignment="1">
      <alignment horizontal="center"/>
    </xf>
    <xf numFmtId="164" fontId="23" fillId="0" borderId="0" xfId="2" applyNumberFormat="1" applyFont="1" applyAlignment="1">
      <alignment horizontal="left"/>
    </xf>
    <xf numFmtId="0" fontId="5" fillId="0" borderId="16" xfId="0" applyFont="1" applyBorder="1"/>
    <xf numFmtId="0" fontId="5" fillId="0" borderId="7" xfId="0" applyFont="1" applyBorder="1"/>
    <xf numFmtId="0" fontId="0" fillId="0" borderId="16" xfId="0" applyBorder="1"/>
    <xf numFmtId="0" fontId="24" fillId="0" borderId="16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5" xfId="0" applyFont="1" applyBorder="1"/>
    <xf numFmtId="0" fontId="25" fillId="0" borderId="5" xfId="0" applyFont="1" applyBorder="1" applyAlignment="1">
      <alignment horizontal="center"/>
    </xf>
    <xf numFmtId="0" fontId="0" fillId="3" borderId="5" xfId="0" applyFill="1" applyBorder="1"/>
    <xf numFmtId="3" fontId="5" fillId="10" borderId="8" xfId="0" applyNumberFormat="1" applyFont="1" applyFill="1" applyBorder="1"/>
    <xf numFmtId="3" fontId="0" fillId="10" borderId="8" xfId="0" applyNumberFormat="1" applyFill="1" applyBorder="1"/>
    <xf numFmtId="3" fontId="0" fillId="0" borderId="8" xfId="0" applyNumberFormat="1" applyBorder="1"/>
    <xf numFmtId="3" fontId="19" fillId="3" borderId="8" xfId="0" applyNumberFormat="1" applyFont="1" applyFill="1" applyBorder="1"/>
    <xf numFmtId="3" fontId="5" fillId="0" borderId="8" xfId="0" applyNumberFormat="1" applyFont="1" applyBorder="1"/>
    <xf numFmtId="3" fontId="5" fillId="0" borderId="0" xfId="0" applyNumberFormat="1" applyFont="1"/>
    <xf numFmtId="0" fontId="0" fillId="0" borderId="8" xfId="0" applyBorder="1"/>
    <xf numFmtId="0" fontId="19" fillId="3" borderId="8" xfId="0" applyFont="1" applyFill="1" applyBorder="1"/>
    <xf numFmtId="3" fontId="23" fillId="0" borderId="8" xfId="0" applyNumberFormat="1" applyFont="1" applyBorder="1"/>
    <xf numFmtId="0" fontId="9" fillId="0" borderId="0" xfId="0" applyFont="1"/>
    <xf numFmtId="3" fontId="9" fillId="0" borderId="8" xfId="0" applyNumberFormat="1" applyFont="1" applyBorder="1"/>
    <xf numFmtId="3" fontId="9" fillId="10" borderId="8" xfId="0" applyNumberFormat="1" applyFont="1" applyFill="1" applyBorder="1"/>
    <xf numFmtId="0" fontId="23" fillId="3" borderId="7" xfId="0" applyFont="1" applyFill="1" applyBorder="1"/>
    <xf numFmtId="0" fontId="26" fillId="3" borderId="8" xfId="0" applyFont="1" applyFill="1" applyBorder="1"/>
    <xf numFmtId="3" fontId="5" fillId="2" borderId="8" xfId="0" applyNumberFormat="1" applyFont="1" applyFill="1" applyBorder="1"/>
    <xf numFmtId="3" fontId="0" fillId="2" borderId="8" xfId="0" applyNumberFormat="1" applyFill="1" applyBorder="1"/>
    <xf numFmtId="3" fontId="5" fillId="3" borderId="8" xfId="0" applyNumberFormat="1" applyFont="1" applyFill="1" applyBorder="1"/>
    <xf numFmtId="3" fontId="27" fillId="3" borderId="8" xfId="0" applyNumberFormat="1" applyFont="1" applyFill="1" applyBorder="1"/>
    <xf numFmtId="3" fontId="5" fillId="2" borderId="5" xfId="0" applyNumberFormat="1" applyFont="1" applyFill="1" applyBorder="1"/>
    <xf numFmtId="3" fontId="0" fillId="2" borderId="5" xfId="0" applyNumberFormat="1" applyFill="1" applyBorder="1"/>
    <xf numFmtId="3" fontId="0" fillId="0" borderId="5" xfId="0" applyNumberFormat="1" applyBorder="1"/>
    <xf numFmtId="3" fontId="19" fillId="3" borderId="5" xfId="0" applyNumberFormat="1" applyFont="1" applyFill="1" applyBorder="1"/>
    <xf numFmtId="3" fontId="27" fillId="3" borderId="5" xfId="0" applyNumberFormat="1" applyFont="1" applyFill="1" applyBorder="1"/>
    <xf numFmtId="3" fontId="0" fillId="13" borderId="8" xfId="0" applyNumberFormat="1" applyFill="1" applyBorder="1"/>
    <xf numFmtId="0" fontId="5" fillId="0" borderId="6" xfId="0" applyFont="1" applyBorder="1"/>
    <xf numFmtId="3" fontId="9" fillId="2" borderId="8" xfId="0" applyNumberFormat="1" applyFont="1" applyFill="1" applyBorder="1"/>
    <xf numFmtId="0" fontId="27" fillId="0" borderId="0" xfId="0" applyFont="1"/>
    <xf numFmtId="0" fontId="28" fillId="0" borderId="1" xfId="1" applyFont="1" applyBorder="1" applyAlignment="1">
      <alignment wrapText="1"/>
    </xf>
    <xf numFmtId="0" fontId="3" fillId="0" borderId="1" xfId="1" applyFont="1" applyBorder="1" applyAlignment="1">
      <alignment horizontal="center"/>
    </xf>
    <xf numFmtId="0" fontId="28" fillId="0" borderId="1" xfId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3" fillId="0" borderId="0" xfId="1" applyFont="1" applyAlignment="1">
      <alignment wrapText="1"/>
    </xf>
    <xf numFmtId="0" fontId="3" fillId="0" borderId="3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17" xfId="1" applyFont="1" applyBorder="1" applyAlignment="1">
      <alignment horizontal="center"/>
    </xf>
    <xf numFmtId="164" fontId="3" fillId="0" borderId="3" xfId="2" applyNumberFormat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5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164" fontId="3" fillId="0" borderId="5" xfId="2" applyNumberFormat="1" applyFont="1" applyBorder="1" applyAlignment="1">
      <alignment horizontal="center"/>
    </xf>
    <xf numFmtId="0" fontId="3" fillId="13" borderId="7" xfId="1" applyFont="1" applyFill="1" applyBorder="1" applyAlignment="1">
      <alignment wrapText="1"/>
    </xf>
    <xf numFmtId="0" fontId="3" fillId="0" borderId="8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3" fontId="3" fillId="0" borderId="8" xfId="1" applyNumberFormat="1" applyFont="1" applyBorder="1" applyAlignment="1">
      <alignment horizontal="center"/>
    </xf>
    <xf numFmtId="0" fontId="3" fillId="0" borderId="7" xfId="1" applyFont="1" applyBorder="1" applyAlignment="1">
      <alignment wrapText="1"/>
    </xf>
    <xf numFmtId="2" fontId="3" fillId="0" borderId="1" xfId="1" applyNumberFormat="1" applyFont="1" applyBorder="1" applyAlignment="1">
      <alignment wrapText="1"/>
    </xf>
    <xf numFmtId="2" fontId="3" fillId="0" borderId="7" xfId="1" applyNumberFormat="1" applyFont="1" applyBorder="1" applyAlignment="1">
      <alignment wrapText="1"/>
    </xf>
    <xf numFmtId="3" fontId="3" fillId="0" borderId="14" xfId="1" applyNumberFormat="1" applyFont="1" applyBorder="1" applyAlignment="1">
      <alignment horizontal="center"/>
    </xf>
    <xf numFmtId="0" fontId="3" fillId="0" borderId="7" xfId="1" applyFont="1" applyBorder="1" applyAlignment="1">
      <alignment vertical="center" wrapText="1"/>
    </xf>
    <xf numFmtId="0" fontId="3" fillId="0" borderId="8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3" fontId="3" fillId="0" borderId="5" xfId="1" applyNumberFormat="1" applyFont="1" applyBorder="1" applyAlignment="1">
      <alignment horizontal="center"/>
    </xf>
    <xf numFmtId="164" fontId="3" fillId="0" borderId="8" xfId="2" applyNumberFormat="1" applyFon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0" fontId="3" fillId="0" borderId="5" xfId="1" applyFont="1" applyBorder="1"/>
    <xf numFmtId="0" fontId="3" fillId="0" borderId="14" xfId="1" applyFont="1" applyBorder="1"/>
    <xf numFmtId="0" fontId="3" fillId="0" borderId="8" xfId="1" applyFont="1" applyBorder="1"/>
    <xf numFmtId="0" fontId="3" fillId="0" borderId="13" xfId="1" applyFont="1" applyBorder="1"/>
    <xf numFmtId="3" fontId="28" fillId="8" borderId="5" xfId="1" applyNumberFormat="1" applyFont="1" applyFill="1" applyBorder="1" applyAlignment="1">
      <alignment horizontal="center"/>
    </xf>
    <xf numFmtId="164" fontId="28" fillId="8" borderId="5" xfId="2" applyNumberFormat="1" applyFont="1" applyFill="1" applyBorder="1" applyAlignment="1">
      <alignment horizontal="center"/>
    </xf>
    <xf numFmtId="0" fontId="28" fillId="0" borderId="1" xfId="1" applyFont="1" applyBorder="1"/>
    <xf numFmtId="0" fontId="3" fillId="0" borderId="0" xfId="1" applyFont="1"/>
    <xf numFmtId="0" fontId="3" fillId="0" borderId="8" xfId="1" applyFont="1" applyBorder="1" applyAlignment="1">
      <alignment vertical="center"/>
    </xf>
    <xf numFmtId="0" fontId="29" fillId="0" borderId="8" xfId="1" applyFont="1" applyBorder="1" applyAlignment="1">
      <alignment horizontal="center"/>
    </xf>
    <xf numFmtId="0" fontId="28" fillId="0" borderId="8" xfId="1" applyFont="1" applyBorder="1"/>
    <xf numFmtId="3" fontId="28" fillId="8" borderId="8" xfId="1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1" xfId="1" applyFont="1" applyBorder="1"/>
    <xf numFmtId="0" fontId="28" fillId="0" borderId="8" xfId="1" applyFont="1" applyBorder="1" applyAlignment="1">
      <alignment horizontal="left"/>
    </xf>
    <xf numFmtId="0" fontId="28" fillId="8" borderId="8" xfId="1" applyFont="1" applyFill="1" applyBorder="1" applyAlignment="1">
      <alignment horizontal="center"/>
    </xf>
    <xf numFmtId="0" fontId="28" fillId="0" borderId="3" xfId="1" applyFont="1" applyBorder="1" applyAlignment="1">
      <alignment horizontal="center"/>
    </xf>
    <xf numFmtId="0" fontId="3" fillId="0" borderId="7" xfId="1" applyFont="1" applyBorder="1" applyAlignment="1">
      <alignment horizontal="left" vertical="center" wrapText="1"/>
    </xf>
    <xf numFmtId="0" fontId="28" fillId="0" borderId="5" xfId="1" applyFont="1" applyBorder="1"/>
    <xf numFmtId="0" fontId="3" fillId="0" borderId="7" xfId="1" applyFont="1" applyBorder="1"/>
    <xf numFmtId="3" fontId="28" fillId="8" borderId="5" xfId="1" applyNumberFormat="1" applyFont="1" applyFill="1" applyBorder="1"/>
    <xf numFmtId="0" fontId="11" fillId="0" borderId="0" xfId="0" applyFont="1"/>
    <xf numFmtId="0" fontId="30" fillId="0" borderId="0" xfId="0" applyFont="1" applyAlignment="1">
      <alignment wrapText="1"/>
    </xf>
    <xf numFmtId="0" fontId="3" fillId="0" borderId="7" xfId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2" fontId="3" fillId="0" borderId="7" xfId="1" applyNumberFormat="1" applyFont="1" applyBorder="1"/>
    <xf numFmtId="0" fontId="28" fillId="8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17" xfId="1" applyFont="1" applyBorder="1"/>
    <xf numFmtId="0" fontId="3" fillId="0" borderId="8" xfId="1" applyFont="1" applyBorder="1" applyAlignment="1">
      <alignment horizontal="left"/>
    </xf>
    <xf numFmtId="0" fontId="3" fillId="0" borderId="8" xfId="1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9" xfId="1" applyFont="1" applyBorder="1"/>
    <xf numFmtId="0" fontId="3" fillId="0" borderId="17" xfId="1" applyFont="1" applyBorder="1" applyAlignment="1">
      <alignment wrapText="1"/>
    </xf>
    <xf numFmtId="0" fontId="3" fillId="0" borderId="8" xfId="1" applyFont="1" applyBorder="1" applyAlignment="1">
      <alignment wrapText="1"/>
    </xf>
    <xf numFmtId="0" fontId="31" fillId="0" borderId="8" xfId="0" applyFont="1" applyBorder="1" applyAlignment="1">
      <alignment horizontal="center"/>
    </xf>
    <xf numFmtId="0" fontId="28" fillId="8" borderId="14" xfId="1" applyFont="1" applyFill="1" applyBorder="1"/>
    <xf numFmtId="0" fontId="15" fillId="0" borderId="3" xfId="0" applyFont="1" applyBorder="1"/>
    <xf numFmtId="0" fontId="3" fillId="0" borderId="21" xfId="1" applyFont="1" applyBorder="1"/>
    <xf numFmtId="3" fontId="28" fillId="8" borderId="8" xfId="1" applyNumberFormat="1" applyFont="1" applyFill="1" applyBorder="1"/>
    <xf numFmtId="0" fontId="3" fillId="8" borderId="8" xfId="1" applyFont="1" applyFill="1" applyBorder="1"/>
    <xf numFmtId="1" fontId="28" fillId="8" borderId="5" xfId="1" applyNumberFormat="1" applyFont="1" applyFill="1" applyBorder="1" applyAlignment="1">
      <alignment horizontal="center"/>
    </xf>
    <xf numFmtId="0" fontId="3" fillId="0" borderId="2" xfId="1" applyFont="1" applyBorder="1"/>
    <xf numFmtId="164" fontId="3" fillId="0" borderId="8" xfId="2" applyNumberFormat="1" applyFont="1" applyBorder="1"/>
    <xf numFmtId="164" fontId="3" fillId="0" borderId="13" xfId="2" applyNumberFormat="1" applyFont="1" applyBorder="1"/>
    <xf numFmtId="164" fontId="3" fillId="0" borderId="5" xfId="2" applyNumberFormat="1" applyFont="1" applyBorder="1"/>
    <xf numFmtId="164" fontId="3" fillId="0" borderId="13" xfId="2" applyNumberFormat="1" applyFont="1" applyBorder="1" applyAlignment="1">
      <alignment horizontal="center"/>
    </xf>
    <xf numFmtId="164" fontId="3" fillId="0" borderId="14" xfId="2" applyNumberFormat="1" applyFont="1" applyBorder="1" applyAlignment="1">
      <alignment horizontal="center"/>
    </xf>
    <xf numFmtId="164" fontId="3" fillId="0" borderId="4" xfId="2" applyNumberFormat="1" applyFont="1" applyBorder="1"/>
    <xf numFmtId="0" fontId="3" fillId="0" borderId="7" xfId="1" applyFont="1" applyBorder="1" applyAlignment="1">
      <alignment horizontal="left" wrapText="1"/>
    </xf>
    <xf numFmtId="164" fontId="0" fillId="0" borderId="8" xfId="2" applyNumberFormat="1" applyFont="1" applyBorder="1"/>
    <xf numFmtId="164" fontId="3" fillId="0" borderId="14" xfId="2" applyNumberFormat="1" applyFont="1" applyBorder="1"/>
    <xf numFmtId="164" fontId="3" fillId="0" borderId="5" xfId="2" applyNumberFormat="1" applyFont="1" applyBorder="1" applyAlignment="1">
      <alignment horizontal="center" vertical="center"/>
    </xf>
    <xf numFmtId="164" fontId="3" fillId="0" borderId="14" xfId="2" applyNumberFormat="1" applyFont="1" applyBorder="1" applyAlignment="1">
      <alignment horizontal="center" vertical="center"/>
    </xf>
    <xf numFmtId="0" fontId="3" fillId="0" borderId="7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164" fontId="29" fillId="0" borderId="13" xfId="2" applyNumberFormat="1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164" fontId="3" fillId="0" borderId="8" xfId="2" applyNumberFormat="1" applyFont="1" applyBorder="1" applyAlignment="1">
      <alignment horizontal="center" vertical="center"/>
    </xf>
    <xf numFmtId="164" fontId="3" fillId="0" borderId="13" xfId="2" applyNumberFormat="1" applyFont="1" applyBorder="1" applyAlignment="1">
      <alignment horizontal="center" vertical="center"/>
    </xf>
    <xf numFmtId="164" fontId="3" fillId="0" borderId="6" xfId="2" applyNumberFormat="1" applyFont="1" applyBorder="1"/>
    <xf numFmtId="0" fontId="19" fillId="0" borderId="8" xfId="0" applyFont="1" applyBorder="1"/>
    <xf numFmtId="0" fontId="3" fillId="0" borderId="5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1" fontId="3" fillId="0" borderId="8" xfId="1" applyNumberFormat="1" applyFont="1" applyBorder="1" applyAlignment="1">
      <alignment horizontal="center"/>
    </xf>
    <xf numFmtId="164" fontId="32" fillId="0" borderId="0" xfId="2" applyNumberFormat="1" applyFont="1" applyFill="1"/>
    <xf numFmtId="164" fontId="33" fillId="2" borderId="10" xfId="2" applyNumberFormat="1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1" fillId="0" borderId="8" xfId="0" applyFont="1" applyBorder="1" applyAlignment="1">
      <alignment horizontal="left" vertical="center" wrapText="1"/>
    </xf>
    <xf numFmtId="0" fontId="3" fillId="0" borderId="8" xfId="1" applyFont="1" applyFill="1" applyBorder="1" applyAlignment="1">
      <alignment horizontal="center"/>
    </xf>
    <xf numFmtId="0" fontId="28" fillId="14" borderId="1" xfId="1" applyFont="1" applyFill="1" applyBorder="1"/>
    <xf numFmtId="164" fontId="34" fillId="0" borderId="5" xfId="2" applyNumberFormat="1" applyFont="1" applyBorder="1" applyAlignment="1">
      <alignment horizontal="center"/>
    </xf>
    <xf numFmtId="164" fontId="34" fillId="0" borderId="13" xfId="2" applyNumberFormat="1" applyFont="1" applyBorder="1" applyAlignment="1">
      <alignment horizontal="center"/>
    </xf>
    <xf numFmtId="164" fontId="3" fillId="0" borderId="0" xfId="2" applyNumberFormat="1" applyFont="1"/>
    <xf numFmtId="164" fontId="3" fillId="0" borderId="3" xfId="2" applyNumberFormat="1" applyFont="1" applyBorder="1"/>
    <xf numFmtId="164" fontId="28" fillId="8" borderId="5" xfId="2" applyNumberFormat="1" applyFont="1" applyFill="1" applyBorder="1"/>
    <xf numFmtId="0" fontId="15" fillId="11" borderId="4" xfId="0" applyFont="1" applyFill="1" applyBorder="1"/>
    <xf numFmtId="0" fontId="15" fillId="11" borderId="1" xfId="0" applyFont="1" applyFill="1" applyBorder="1"/>
    <xf numFmtId="0" fontId="15" fillId="11" borderId="14" xfId="0" applyFont="1" applyFill="1" applyBorder="1"/>
    <xf numFmtId="0" fontId="16" fillId="15" borderId="2" xfId="0" applyFont="1" applyFill="1" applyBorder="1"/>
    <xf numFmtId="0" fontId="17" fillId="15" borderId="16" xfId="0" applyFont="1" applyFill="1" applyBorder="1"/>
    <xf numFmtId="0" fontId="17" fillId="15" borderId="17" xfId="0" applyFont="1" applyFill="1" applyBorder="1"/>
    <xf numFmtId="0" fontId="15" fillId="15" borderId="4" xfId="0" applyFont="1" applyFill="1" applyBorder="1"/>
    <xf numFmtId="0" fontId="0" fillId="15" borderId="1" xfId="0" applyFill="1" applyBorder="1"/>
    <xf numFmtId="0" fontId="0" fillId="15" borderId="14" xfId="0" applyFill="1" applyBorder="1"/>
    <xf numFmtId="0" fontId="5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19" xfId="0" applyFont="1" applyBorder="1"/>
    <xf numFmtId="0" fontId="11" fillId="0" borderId="18" xfId="0" applyFont="1" applyBorder="1"/>
    <xf numFmtId="0" fontId="11" fillId="0" borderId="22" xfId="0" applyFont="1" applyBorder="1"/>
    <xf numFmtId="0" fontId="7" fillId="0" borderId="0" xfId="0" applyFont="1"/>
    <xf numFmtId="0" fontId="16" fillId="11" borderId="2" xfId="0" applyFont="1" applyFill="1" applyBorder="1"/>
    <xf numFmtId="0" fontId="16" fillId="11" borderId="16" xfId="0" applyFont="1" applyFill="1" applyBorder="1"/>
    <xf numFmtId="0" fontId="16" fillId="11" borderId="16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0" fontId="10" fillId="9" borderId="7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164" fontId="5" fillId="0" borderId="3" xfId="2" applyNumberFormat="1" applyFont="1" applyBorder="1" applyAlignment="1">
      <alignment horizontal="center" vertical="center"/>
    </xf>
    <xf numFmtId="164" fontId="0" fillId="0" borderId="5" xfId="2" applyNumberFormat="1" applyFont="1" applyBorder="1" applyAlignment="1">
      <alignment horizontal="center" vertical="center"/>
    </xf>
    <xf numFmtId="164" fontId="5" fillId="0" borderId="3" xfId="2" applyNumberFormat="1" applyFont="1" applyBorder="1" applyAlignment="1">
      <alignment horizontal="center" vertical="center" wrapText="1"/>
    </xf>
    <xf numFmtId="164" fontId="0" fillId="0" borderId="5" xfId="2" applyNumberFormat="1" applyFont="1" applyBorder="1" applyAlignment="1">
      <alignment horizontal="center" vertical="center" wrapText="1"/>
    </xf>
    <xf numFmtId="164" fontId="5" fillId="0" borderId="5" xfId="2" applyNumberFormat="1" applyFont="1" applyBorder="1" applyAlignment="1">
      <alignment horizontal="center" vertical="center" wrapText="1"/>
    </xf>
    <xf numFmtId="164" fontId="5" fillId="12" borderId="3" xfId="2" applyNumberFormat="1" applyFont="1" applyFill="1" applyBorder="1" applyAlignment="1">
      <alignment horizontal="center" vertical="center" wrapText="1"/>
    </xf>
    <xf numFmtId="164" fontId="5" fillId="12" borderId="5" xfId="2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164" fontId="9" fillId="4" borderId="3" xfId="2" applyNumberFormat="1" applyFont="1" applyFill="1" applyBorder="1" applyAlignment="1">
      <alignment horizontal="center"/>
    </xf>
    <xf numFmtId="164" fontId="9" fillId="4" borderId="5" xfId="2" applyNumberFormat="1" applyFont="1" applyFill="1" applyBorder="1" applyAlignment="1">
      <alignment horizontal="center"/>
    </xf>
    <xf numFmtId="164" fontId="9" fillId="5" borderId="3" xfId="2" applyNumberFormat="1" applyFont="1" applyFill="1" applyBorder="1" applyAlignment="1">
      <alignment horizontal="center" vertical="center"/>
    </xf>
    <xf numFmtId="164" fontId="9" fillId="5" borderId="5" xfId="2" applyNumberFormat="1" applyFont="1" applyFill="1" applyBorder="1" applyAlignment="1">
      <alignment horizontal="center" vertical="center"/>
    </xf>
    <xf numFmtId="164" fontId="9" fillId="0" borderId="3" xfId="2" applyNumberFormat="1" applyFont="1" applyBorder="1" applyAlignment="1">
      <alignment horizontal="center" vertical="center"/>
    </xf>
    <xf numFmtId="164" fontId="9" fillId="0" borderId="5" xfId="2" applyNumberFormat="1" applyFont="1" applyBorder="1" applyAlignment="1">
      <alignment horizontal="center" vertical="center"/>
    </xf>
    <xf numFmtId="164" fontId="9" fillId="7" borderId="3" xfId="2" applyNumberFormat="1" applyFont="1" applyFill="1" applyBorder="1" applyAlignment="1">
      <alignment horizontal="center" vertical="center"/>
    </xf>
    <xf numFmtId="164" fontId="9" fillId="7" borderId="5" xfId="2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9" fillId="0" borderId="0" xfId="0" applyFont="1"/>
    <xf numFmtId="0" fontId="3" fillId="0" borderId="17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workbookViewId="0">
      <selection activeCell="Z20" sqref="Z20:Z21"/>
    </sheetView>
  </sheetViews>
  <sheetFormatPr defaultRowHeight="15"/>
  <cols>
    <col min="4" max="4" width="9.85546875" bestFit="1" customWidth="1"/>
    <col min="5" max="5" width="1" customWidth="1"/>
    <col min="6" max="6" width="12" style="1" customWidth="1"/>
    <col min="7" max="7" width="10.85546875" style="1" customWidth="1"/>
    <col min="8" max="8" width="11.42578125" hidden="1" customWidth="1"/>
    <col min="9" max="9" width="10.42578125" style="1" hidden="1" customWidth="1"/>
    <col min="10" max="11" width="10.85546875" style="1" hidden="1" customWidth="1"/>
    <col min="12" max="12" width="10" hidden="1" customWidth="1"/>
    <col min="13" max="13" width="10.85546875" hidden="1" customWidth="1"/>
    <col min="14" max="14" width="12.5703125" hidden="1" customWidth="1"/>
    <col min="15" max="16" width="0.85546875" hidden="1" customWidth="1"/>
    <col min="17" max="17" width="0.7109375" hidden="1" customWidth="1"/>
    <col min="18" max="20" width="0.85546875" hidden="1" customWidth="1"/>
    <col min="21" max="21" width="11.28515625" style="1" customWidth="1"/>
    <col min="22" max="22" width="12" style="1" customWidth="1"/>
    <col min="23" max="23" width="16.140625" style="1" customWidth="1"/>
  </cols>
  <sheetData>
    <row r="1" spans="1:23" ht="6" customHeight="1"/>
    <row r="2" spans="1:23" ht="21" customHeight="1">
      <c r="A2" s="2"/>
      <c r="B2" s="3"/>
      <c r="C2" s="4"/>
      <c r="D2" s="4"/>
      <c r="E2" s="4"/>
      <c r="F2" s="5"/>
      <c r="G2" s="6" t="s">
        <v>0</v>
      </c>
      <c r="H2" s="6"/>
      <c r="I2" s="6"/>
      <c r="J2" s="6"/>
      <c r="K2" s="6"/>
      <c r="L2" s="6"/>
      <c r="M2" s="7"/>
      <c r="N2" s="8"/>
      <c r="O2" s="8"/>
      <c r="P2" s="8"/>
      <c r="Q2" s="8"/>
      <c r="R2" s="8"/>
      <c r="S2" s="8"/>
      <c r="T2" s="8"/>
      <c r="U2" s="8"/>
    </row>
    <row r="3" spans="1:23" ht="37.5" customHeight="1">
      <c r="A3" s="349" t="s">
        <v>1</v>
      </c>
      <c r="B3" s="350"/>
      <c r="C3" s="350"/>
      <c r="D3" s="350"/>
      <c r="E3" s="351"/>
      <c r="F3" s="332" t="s">
        <v>2</v>
      </c>
      <c r="G3" s="332" t="s">
        <v>2</v>
      </c>
      <c r="H3" s="10" t="s">
        <v>3</v>
      </c>
      <c r="I3" s="330" t="s">
        <v>4</v>
      </c>
      <c r="J3" s="330" t="s">
        <v>5</v>
      </c>
      <c r="K3" s="330" t="s">
        <v>6</v>
      </c>
      <c r="L3" s="330" t="s">
        <v>7</v>
      </c>
      <c r="M3" s="11" t="s">
        <v>8</v>
      </c>
      <c r="N3" s="11" t="s">
        <v>9</v>
      </c>
      <c r="O3" s="10"/>
      <c r="P3" s="10"/>
      <c r="Q3" s="10"/>
      <c r="R3" s="10"/>
      <c r="S3" s="12"/>
      <c r="T3" s="12"/>
      <c r="U3" s="332" t="s">
        <v>10</v>
      </c>
      <c r="V3" s="332" t="s">
        <v>11</v>
      </c>
      <c r="W3" s="342" t="s">
        <v>12</v>
      </c>
    </row>
    <row r="4" spans="1:23" ht="0.75" customHeight="1">
      <c r="A4" s="13"/>
      <c r="B4" s="14"/>
      <c r="C4" s="14"/>
      <c r="D4" s="14"/>
      <c r="E4" s="14"/>
      <c r="F4" s="333"/>
      <c r="G4" s="333"/>
      <c r="H4" s="15" t="s">
        <v>13</v>
      </c>
      <c r="I4" s="331"/>
      <c r="J4" s="331"/>
      <c r="K4" s="331"/>
      <c r="L4" s="331"/>
      <c r="M4" s="16" t="s">
        <v>8</v>
      </c>
      <c r="N4" s="16" t="s">
        <v>9</v>
      </c>
      <c r="O4" s="17" t="s">
        <v>14</v>
      </c>
      <c r="P4" s="17" t="s">
        <v>15</v>
      </c>
      <c r="Q4" s="17" t="s">
        <v>16</v>
      </c>
      <c r="R4" s="17" t="s">
        <v>17</v>
      </c>
      <c r="S4" s="18" t="s">
        <v>18</v>
      </c>
      <c r="T4" s="18" t="s">
        <v>19</v>
      </c>
      <c r="U4" s="333"/>
      <c r="V4" s="341"/>
      <c r="W4" s="343"/>
    </row>
    <row r="5" spans="1:23" ht="15.75">
      <c r="A5" s="19" t="s">
        <v>20</v>
      </c>
      <c r="B5" s="20"/>
      <c r="C5" s="20"/>
      <c r="D5" s="20"/>
      <c r="E5" s="20"/>
      <c r="F5" s="21">
        <v>25090303</v>
      </c>
      <c r="G5" s="22">
        <f>F5/12</f>
        <v>2090858.5833333333</v>
      </c>
      <c r="H5" s="23"/>
      <c r="I5" s="24">
        <v>2150745</v>
      </c>
      <c r="J5" s="24">
        <v>2150245</v>
      </c>
      <c r="K5" s="24">
        <v>1812865</v>
      </c>
      <c r="L5" s="23">
        <v>1921915</v>
      </c>
      <c r="M5" s="25">
        <v>2257168</v>
      </c>
      <c r="N5" s="26">
        <v>1834383</v>
      </c>
      <c r="O5" s="27"/>
      <c r="P5" s="27"/>
      <c r="Q5" s="27"/>
      <c r="R5" s="27"/>
      <c r="S5" s="28"/>
      <c r="T5" s="28"/>
      <c r="U5" s="29">
        <f t="shared" ref="U5:U31" si="0">SUM(I5:T5)</f>
        <v>12127321</v>
      </c>
      <c r="V5" s="30">
        <f>G5*6</f>
        <v>12545151.5</v>
      </c>
      <c r="W5" s="31">
        <f>U5-V5</f>
        <v>-417830.5</v>
      </c>
    </row>
    <row r="6" spans="1:23" ht="15.75">
      <c r="A6" s="19" t="s">
        <v>21</v>
      </c>
      <c r="B6" s="20"/>
      <c r="C6" s="20"/>
      <c r="D6" s="20"/>
      <c r="E6" s="20"/>
      <c r="F6" s="32"/>
      <c r="G6" s="32"/>
      <c r="H6" s="33"/>
      <c r="I6" s="32"/>
      <c r="J6" s="32"/>
      <c r="K6" s="32"/>
      <c r="L6" s="33"/>
      <c r="M6" s="34"/>
      <c r="N6" s="34"/>
      <c r="O6" s="33"/>
      <c r="P6" s="33"/>
      <c r="Q6" s="33"/>
      <c r="R6" s="33"/>
      <c r="S6" s="35"/>
      <c r="T6" s="28"/>
      <c r="U6" s="29">
        <f t="shared" si="0"/>
        <v>0</v>
      </c>
      <c r="V6" s="30"/>
      <c r="W6" s="36"/>
    </row>
    <row r="7" spans="1:23" ht="15.75">
      <c r="A7" s="19" t="s">
        <v>22</v>
      </c>
      <c r="B7" s="20"/>
      <c r="C7" s="20"/>
      <c r="D7" s="20"/>
      <c r="E7" s="20"/>
      <c r="F7" s="37">
        <v>200000</v>
      </c>
      <c r="G7" s="38">
        <f>F7/12</f>
        <v>16666.666666666668</v>
      </c>
      <c r="H7" s="27"/>
      <c r="I7" s="24">
        <f>35940+340</f>
        <v>36280</v>
      </c>
      <c r="J7" s="24">
        <v>58470</v>
      </c>
      <c r="K7" s="24">
        <v>37120</v>
      </c>
      <c r="L7" s="23">
        <v>28150</v>
      </c>
      <c r="M7" s="25">
        <v>55530</v>
      </c>
      <c r="N7" s="26">
        <v>37600</v>
      </c>
      <c r="O7" s="27"/>
      <c r="P7" s="27"/>
      <c r="Q7" s="27"/>
      <c r="R7" s="27"/>
      <c r="S7" s="28"/>
      <c r="T7" s="28"/>
      <c r="U7" s="29">
        <f t="shared" si="0"/>
        <v>253150</v>
      </c>
      <c r="V7" s="30">
        <f>G7*6</f>
        <v>100000</v>
      </c>
      <c r="W7" s="31">
        <f>U7-V7</f>
        <v>153150</v>
      </c>
    </row>
    <row r="8" spans="1:23" ht="15.75">
      <c r="A8" s="19" t="s">
        <v>23</v>
      </c>
      <c r="B8" s="20"/>
      <c r="C8" s="20"/>
      <c r="D8" s="20"/>
      <c r="E8" s="20"/>
      <c r="F8" s="32"/>
      <c r="G8" s="32"/>
      <c r="H8" s="33"/>
      <c r="I8" s="39"/>
      <c r="J8" s="39"/>
      <c r="K8" s="39"/>
      <c r="L8" s="27"/>
      <c r="M8" s="40"/>
      <c r="N8" s="40"/>
      <c r="O8" s="27"/>
      <c r="P8" s="27"/>
      <c r="Q8" s="27"/>
      <c r="R8" s="27"/>
      <c r="S8" s="28"/>
      <c r="T8" s="28"/>
      <c r="U8" s="29">
        <f t="shared" si="0"/>
        <v>0</v>
      </c>
      <c r="V8" s="30"/>
      <c r="W8" s="41"/>
    </row>
    <row r="9" spans="1:23" ht="15.75">
      <c r="A9" s="42" t="s">
        <v>24</v>
      </c>
      <c r="B9" s="43"/>
      <c r="C9" s="44"/>
      <c r="D9" s="44"/>
      <c r="E9" s="44"/>
      <c r="F9" s="45"/>
      <c r="G9" s="45"/>
      <c r="H9" s="42"/>
      <c r="I9" s="46">
        <f>15000+99836+10860+240</f>
        <v>125936</v>
      </c>
      <c r="J9" s="46">
        <v>15240</v>
      </c>
      <c r="K9" s="47">
        <v>15240</v>
      </c>
      <c r="L9" s="48">
        <v>107699</v>
      </c>
      <c r="M9" s="49">
        <v>26100</v>
      </c>
      <c r="N9" s="50">
        <v>15240</v>
      </c>
      <c r="O9" s="42"/>
      <c r="P9" s="42"/>
      <c r="Q9" s="51"/>
      <c r="R9" s="42"/>
      <c r="S9" s="52"/>
      <c r="T9" s="52"/>
      <c r="U9" s="53">
        <f t="shared" si="0"/>
        <v>305455</v>
      </c>
      <c r="V9" s="54">
        <f>G9*5</f>
        <v>0</v>
      </c>
      <c r="W9" s="55">
        <f>U9-V9</f>
        <v>305455</v>
      </c>
    </row>
    <row r="10" spans="1:23" ht="15.75">
      <c r="A10" s="344" t="s">
        <v>25</v>
      </c>
      <c r="B10" s="345"/>
      <c r="C10" s="345"/>
      <c r="D10" s="345"/>
      <c r="E10" s="346"/>
      <c r="F10" s="56">
        <f t="shared" ref="F10:N10" si="1">SUM(F5:F9)</f>
        <v>25290303</v>
      </c>
      <c r="G10" s="57">
        <f t="shared" si="1"/>
        <v>2107525.25</v>
      </c>
      <c r="H10" s="58">
        <f>SUM(H5:H9)</f>
        <v>0</v>
      </c>
      <c r="I10" s="59">
        <f t="shared" si="1"/>
        <v>2312961</v>
      </c>
      <c r="J10" s="59">
        <f t="shared" si="1"/>
        <v>2223955</v>
      </c>
      <c r="K10" s="59">
        <f t="shared" si="1"/>
        <v>1865225</v>
      </c>
      <c r="L10" s="59">
        <f t="shared" si="1"/>
        <v>2057764</v>
      </c>
      <c r="M10" s="59">
        <f t="shared" si="1"/>
        <v>2338798</v>
      </c>
      <c r="N10" s="59">
        <f t="shared" si="1"/>
        <v>1887223</v>
      </c>
      <c r="O10" s="60"/>
      <c r="P10" s="60"/>
      <c r="Q10" s="60"/>
      <c r="R10" s="60"/>
      <c r="S10" s="61"/>
      <c r="T10" s="61"/>
      <c r="U10" s="62">
        <f>SUM(I10:T10)</f>
        <v>12685926</v>
      </c>
      <c r="V10" s="30">
        <f>G10*6</f>
        <v>12645151.5</v>
      </c>
      <c r="W10" s="63">
        <f>U10-V10</f>
        <v>40774.5</v>
      </c>
    </row>
    <row r="11" spans="1:23" ht="33" customHeight="1">
      <c r="A11" s="347" t="s">
        <v>26</v>
      </c>
      <c r="B11" s="348"/>
      <c r="C11" s="348"/>
      <c r="D11" s="348"/>
      <c r="E11" s="348"/>
      <c r="F11" s="64"/>
      <c r="G11" s="64"/>
      <c r="H11" s="65"/>
      <c r="I11" s="64"/>
      <c r="J11" s="64"/>
      <c r="K11" s="64"/>
      <c r="L11" s="65"/>
      <c r="M11" s="66"/>
      <c r="N11" s="66"/>
      <c r="O11" s="65"/>
      <c r="P11" s="65"/>
      <c r="Q11" s="65"/>
      <c r="R11" s="65"/>
      <c r="S11" s="67"/>
      <c r="T11" s="67"/>
      <c r="U11" s="68"/>
      <c r="V11" s="69"/>
      <c r="W11" s="70" t="s">
        <v>27</v>
      </c>
    </row>
    <row r="12" spans="1:23" ht="15.75">
      <c r="A12" s="71" t="s">
        <v>28</v>
      </c>
      <c r="B12" s="72"/>
      <c r="C12" s="72"/>
      <c r="D12" s="72"/>
      <c r="E12" s="72"/>
      <c r="F12" s="21">
        <v>900000</v>
      </c>
      <c r="G12" s="22">
        <f t="shared" ref="G12:G31" si="2">F12/12</f>
        <v>75000</v>
      </c>
      <c r="H12" s="33"/>
      <c r="I12" s="73">
        <f ca="1">'общехоз расходы'!B83</f>
        <v>0</v>
      </c>
      <c r="J12" s="73">
        <f ca="1">'общехоз расходы'!C83</f>
        <v>0</v>
      </c>
      <c r="K12" s="73">
        <f ca="1">'общехоз расходы'!D83</f>
        <v>0</v>
      </c>
      <c r="L12" s="73">
        <f ca="1">'общехоз расходы'!E83</f>
        <v>0</v>
      </c>
      <c r="M12" s="73">
        <f ca="1">'общехоз расходы'!F83</f>
        <v>0</v>
      </c>
      <c r="N12" s="73">
        <f ca="1">'общехоз расходы'!G83</f>
        <v>0</v>
      </c>
      <c r="O12" s="27"/>
      <c r="P12" s="27"/>
      <c r="Q12" s="27"/>
      <c r="R12" s="27"/>
      <c r="S12" s="28"/>
      <c r="T12" s="28"/>
      <c r="U12" s="29">
        <f t="shared" si="0"/>
        <v>0</v>
      </c>
      <c r="V12" s="30">
        <f t="shared" ref="V12:V31" si="3">G12*6</f>
        <v>450000</v>
      </c>
      <c r="W12" s="74">
        <f t="shared" ref="W12:W31" si="4">V12-U12</f>
        <v>450000</v>
      </c>
    </row>
    <row r="13" spans="1:23" ht="15.75">
      <c r="A13" s="13" t="s">
        <v>29</v>
      </c>
      <c r="B13" s="14"/>
      <c r="C13" s="14"/>
      <c r="D13" s="14"/>
      <c r="E13" s="14"/>
      <c r="F13" s="56">
        <v>160000</v>
      </c>
      <c r="G13" s="22">
        <f t="shared" si="2"/>
        <v>13333.333333333334</v>
      </c>
      <c r="H13" s="75"/>
      <c r="I13" s="76">
        <f ca="1">'программ обеспечение'!B10</f>
        <v>7470.34</v>
      </c>
      <c r="J13" s="76">
        <f ca="1">'программ обеспечение'!C10</f>
        <v>0</v>
      </c>
      <c r="K13" s="76">
        <f ca="1">'программ обеспечение'!D10</f>
        <v>0</v>
      </c>
      <c r="L13" s="76">
        <f ca="1">'программ обеспечение'!E10</f>
        <v>10400</v>
      </c>
      <c r="M13" s="76">
        <f ca="1">'программ обеспечение'!F10</f>
        <v>0</v>
      </c>
      <c r="N13" s="76">
        <f ca="1">'программ обеспечение'!G10</f>
        <v>4053</v>
      </c>
      <c r="O13" s="60"/>
      <c r="P13" s="60"/>
      <c r="Q13" s="60"/>
      <c r="R13" s="60"/>
      <c r="S13" s="61"/>
      <c r="T13" s="61"/>
      <c r="U13" s="29">
        <f t="shared" si="0"/>
        <v>21923.34</v>
      </c>
      <c r="V13" s="30">
        <f t="shared" si="3"/>
        <v>80000</v>
      </c>
      <c r="W13" s="74">
        <f t="shared" si="4"/>
        <v>58076.66</v>
      </c>
    </row>
    <row r="14" spans="1:23" ht="15.75">
      <c r="A14" s="71" t="s">
        <v>30</v>
      </c>
      <c r="B14" s="72"/>
      <c r="C14" s="72"/>
      <c r="D14" s="72"/>
      <c r="E14" s="77"/>
      <c r="F14" s="21">
        <v>140000</v>
      </c>
      <c r="G14" s="22">
        <f t="shared" si="2"/>
        <v>11666.666666666666</v>
      </c>
      <c r="H14" s="33"/>
      <c r="I14" s="73">
        <f ca="1">'услуги связи'!B7</f>
        <v>12200</v>
      </c>
      <c r="J14" s="73">
        <f ca="1">'услуги связи'!C7</f>
        <v>12600</v>
      </c>
      <c r="K14" s="73">
        <f ca="1">'услуги связи'!D7</f>
        <v>11000</v>
      </c>
      <c r="L14" s="73">
        <f ca="1">'услуги связи'!E7</f>
        <v>17200</v>
      </c>
      <c r="M14" s="73">
        <f ca="1">'услуги связи'!F7</f>
        <v>12200</v>
      </c>
      <c r="N14" s="73">
        <f ca="1">'услуги связи'!G7</f>
        <v>11000</v>
      </c>
      <c r="O14" s="27"/>
      <c r="P14" s="27"/>
      <c r="Q14" s="27"/>
      <c r="R14" s="27"/>
      <c r="S14" s="28"/>
      <c r="T14" s="28"/>
      <c r="U14" s="29">
        <f t="shared" si="0"/>
        <v>76200</v>
      </c>
      <c r="V14" s="30">
        <f t="shared" si="3"/>
        <v>70000</v>
      </c>
      <c r="W14" s="74">
        <f t="shared" si="4"/>
        <v>-6200</v>
      </c>
    </row>
    <row r="15" spans="1:23" ht="15.75">
      <c r="A15" s="13" t="s">
        <v>31</v>
      </c>
      <c r="B15" s="14"/>
      <c r="C15" s="14"/>
      <c r="D15" s="14"/>
      <c r="E15" s="78"/>
      <c r="F15" s="56">
        <v>300000</v>
      </c>
      <c r="G15" s="22">
        <f t="shared" si="2"/>
        <v>25000</v>
      </c>
      <c r="H15" s="75"/>
      <c r="I15" s="76" t="e">
        <f ca="1">#REF!</f>
        <v>#REF!</v>
      </c>
      <c r="J15" s="76" t="e">
        <f ca="1">#REF!</f>
        <v>#REF!</v>
      </c>
      <c r="K15" s="76" t="e">
        <f ca="1">#REF!</f>
        <v>#REF!</v>
      </c>
      <c r="L15" s="76" t="e">
        <f ca="1">#REF!</f>
        <v>#REF!</v>
      </c>
      <c r="M15" s="76">
        <f ca="1">'программ обеспечение'!F12</f>
        <v>0</v>
      </c>
      <c r="N15" s="76">
        <f ca="1">'программ обеспечение'!G12</f>
        <v>0</v>
      </c>
      <c r="O15" s="60"/>
      <c r="P15" s="60"/>
      <c r="Q15" s="60"/>
      <c r="R15" s="60"/>
      <c r="S15" s="61"/>
      <c r="T15" s="61"/>
      <c r="U15" s="29" t="e">
        <f t="shared" si="0"/>
        <v>#REF!</v>
      </c>
      <c r="V15" s="30">
        <f t="shared" si="3"/>
        <v>150000</v>
      </c>
      <c r="W15" s="74" t="e">
        <f t="shared" si="4"/>
        <v>#REF!</v>
      </c>
    </row>
    <row r="16" spans="1:23" ht="15.75">
      <c r="A16" s="13" t="s">
        <v>32</v>
      </c>
      <c r="B16" s="14"/>
      <c r="C16" s="14"/>
      <c r="D16" s="14"/>
      <c r="E16" s="78"/>
      <c r="F16" s="56">
        <v>7890000</v>
      </c>
      <c r="G16" s="22">
        <f t="shared" si="2"/>
        <v>657500</v>
      </c>
      <c r="H16" s="75"/>
      <c r="I16" s="76">
        <f ca="1">'з пл'!B5</f>
        <v>702243.35</v>
      </c>
      <c r="J16" s="76">
        <f ca="1">'з пл'!C5</f>
        <v>635309.03</v>
      </c>
      <c r="K16" s="76">
        <f ca="1">'з пл'!D5</f>
        <v>711892.81999999983</v>
      </c>
      <c r="L16" s="76">
        <f ca="1">'з пл'!E5</f>
        <v>715298.69000000006</v>
      </c>
      <c r="M16" s="76">
        <f ca="1">'з пл'!F5</f>
        <v>689086.48</v>
      </c>
      <c r="N16" s="76">
        <f ca="1">'з пл'!G5</f>
        <v>753299.36</v>
      </c>
      <c r="O16" s="60"/>
      <c r="P16" s="60"/>
      <c r="Q16" s="60"/>
      <c r="R16" s="60"/>
      <c r="S16" s="61"/>
      <c r="T16" s="61"/>
      <c r="U16" s="29">
        <f t="shared" si="0"/>
        <v>4207129.7299999995</v>
      </c>
      <c r="V16" s="30">
        <f t="shared" si="3"/>
        <v>3945000</v>
      </c>
      <c r="W16" s="74">
        <f t="shared" si="4"/>
        <v>-262129.72999999952</v>
      </c>
    </row>
    <row r="17" spans="1:24" ht="15.75">
      <c r="A17" s="13" t="s">
        <v>33</v>
      </c>
      <c r="B17" s="14"/>
      <c r="C17" s="14"/>
      <c r="D17" s="14"/>
      <c r="E17" s="14"/>
      <c r="F17" s="56">
        <v>500000</v>
      </c>
      <c r="G17" s="22">
        <f t="shared" si="2"/>
        <v>41666.666666666664</v>
      </c>
      <c r="H17" s="75"/>
      <c r="I17" s="76">
        <f ca="1">'премиальный фонд'!B5</f>
        <v>0</v>
      </c>
      <c r="J17" s="76">
        <f ca="1">'премиальный фонд'!C5</f>
        <v>0</v>
      </c>
      <c r="K17" s="76">
        <f ca="1">'премиальный фонд'!D5</f>
        <v>0</v>
      </c>
      <c r="L17" s="76">
        <f ca="1">'премиальный фонд'!E5</f>
        <v>0</v>
      </c>
      <c r="M17" s="76">
        <f ca="1">'премиальный фонд'!F5</f>
        <v>0</v>
      </c>
      <c r="N17" s="76">
        <f ca="1">'премиальный фонд'!G5</f>
        <v>0</v>
      </c>
      <c r="O17" s="60"/>
      <c r="P17" s="60"/>
      <c r="Q17" s="60"/>
      <c r="R17" s="60"/>
      <c r="S17" s="61"/>
      <c r="T17" s="61"/>
      <c r="U17" s="29">
        <f t="shared" si="0"/>
        <v>0</v>
      </c>
      <c r="V17" s="30">
        <f t="shared" si="3"/>
        <v>250000</v>
      </c>
      <c r="W17" s="74">
        <f t="shared" si="4"/>
        <v>250000</v>
      </c>
    </row>
    <row r="18" spans="1:24" ht="15.75">
      <c r="A18" s="13" t="s">
        <v>34</v>
      </c>
      <c r="B18" s="14"/>
      <c r="C18" s="14"/>
      <c r="D18" s="14"/>
      <c r="E18" s="14"/>
      <c r="F18" s="56">
        <v>2517000</v>
      </c>
      <c r="G18" s="22">
        <f t="shared" si="2"/>
        <v>209750</v>
      </c>
      <c r="H18" s="75"/>
      <c r="I18" s="76">
        <f ca="1">'налог с ФОТ'!B6</f>
        <v>203291.6</v>
      </c>
      <c r="J18" s="76">
        <f ca="1">'налог с ФОТ'!C6</f>
        <v>222271.25</v>
      </c>
      <c r="K18" s="76">
        <f ca="1">'налог с ФОТ'!D6</f>
        <v>187509.67999999996</v>
      </c>
      <c r="L18" s="76">
        <f ca="1">'налог с ФОТ'!E6</f>
        <v>198842.05</v>
      </c>
      <c r="M18" s="76">
        <f ca="1">'налог с ФОТ'!F6</f>
        <v>184297.75</v>
      </c>
      <c r="N18" s="76">
        <f ca="1">'налог с ФОТ'!G6</f>
        <v>209166.26999999996</v>
      </c>
      <c r="O18" s="60"/>
      <c r="P18" s="60"/>
      <c r="Q18" s="60"/>
      <c r="R18" s="60"/>
      <c r="S18" s="61"/>
      <c r="T18" s="61"/>
      <c r="U18" s="29">
        <f t="shared" si="0"/>
        <v>1205378.5999999999</v>
      </c>
      <c r="V18" s="30">
        <f t="shared" si="3"/>
        <v>1258500</v>
      </c>
      <c r="W18" s="74">
        <f t="shared" si="4"/>
        <v>53121.40000000014</v>
      </c>
    </row>
    <row r="19" spans="1:24" ht="15.75">
      <c r="A19" s="13" t="s">
        <v>35</v>
      </c>
      <c r="B19" s="14"/>
      <c r="C19" s="14"/>
      <c r="D19" s="14"/>
      <c r="E19" s="14"/>
      <c r="F19" s="56">
        <v>200000</v>
      </c>
      <c r="G19" s="22">
        <f t="shared" si="2"/>
        <v>16666.666666666668</v>
      </c>
      <c r="H19" s="75"/>
      <c r="I19" s="76">
        <f ca="1">'приобрт инвентаря и оборуд'!B27</f>
        <v>2200</v>
      </c>
      <c r="J19" s="76">
        <f ca="1">'приобрт инвентаря и оборуд'!C27</f>
        <v>3600</v>
      </c>
      <c r="K19" s="76">
        <f ca="1">'приобрт инвентаря и оборуд'!D27</f>
        <v>294</v>
      </c>
      <c r="L19" s="76">
        <f ca="1">'приобрт инвентаря и оборуд'!E27</f>
        <v>1846</v>
      </c>
      <c r="M19" s="76">
        <f ca="1">'приобрт инвентаря и оборуд'!F27</f>
        <v>3922</v>
      </c>
      <c r="N19" s="76">
        <f ca="1">'приобрт инвентаря и оборуд'!G27</f>
        <v>9630</v>
      </c>
      <c r="O19" s="60"/>
      <c r="P19" s="60"/>
      <c r="Q19" s="60"/>
      <c r="R19" s="60"/>
      <c r="S19" s="61"/>
      <c r="T19" s="61"/>
      <c r="U19" s="29">
        <f t="shared" si="0"/>
        <v>21492</v>
      </c>
      <c r="V19" s="30">
        <f t="shared" si="3"/>
        <v>100000</v>
      </c>
      <c r="W19" s="74">
        <f t="shared" si="4"/>
        <v>78508</v>
      </c>
    </row>
    <row r="20" spans="1:24" ht="15.75">
      <c r="A20" s="71" t="s">
        <v>36</v>
      </c>
      <c r="B20" s="72"/>
      <c r="C20" s="72"/>
      <c r="D20" s="72"/>
      <c r="E20" s="72"/>
      <c r="F20" s="21">
        <v>1950000</v>
      </c>
      <c r="G20" s="22">
        <f t="shared" si="2"/>
        <v>162500</v>
      </c>
      <c r="H20" s="33"/>
      <c r="I20" s="73">
        <f ca="1">'вывоз мусора'!B10</f>
        <v>511000</v>
      </c>
      <c r="J20" s="73">
        <f ca="1">'вывоз мусора'!C10</f>
        <v>648938.98</v>
      </c>
      <c r="K20" s="73">
        <f ca="1">'вывоз мусора'!D10</f>
        <v>526195.01</v>
      </c>
      <c r="L20" s="73">
        <f ca="1">'вывоз мусора'!E10</f>
        <v>435911.97</v>
      </c>
      <c r="M20" s="73">
        <f ca="1">'вывоз мусора'!F10</f>
        <v>504911.97</v>
      </c>
      <c r="N20" s="73">
        <f ca="1">'вывоз мусора'!G10</f>
        <v>895911.97</v>
      </c>
      <c r="O20" s="27"/>
      <c r="P20" s="27"/>
      <c r="Q20" s="27"/>
      <c r="R20" s="27"/>
      <c r="S20" s="28"/>
      <c r="T20" s="28"/>
      <c r="U20" s="29">
        <f t="shared" si="0"/>
        <v>3522869.8999999994</v>
      </c>
      <c r="V20" s="30">
        <f t="shared" si="3"/>
        <v>975000</v>
      </c>
      <c r="W20" s="74">
        <f t="shared" si="4"/>
        <v>-2547869.8999999994</v>
      </c>
    </row>
    <row r="21" spans="1:24" ht="15.75">
      <c r="A21" s="71" t="s">
        <v>37</v>
      </c>
      <c r="B21" s="72"/>
      <c r="C21" s="72"/>
      <c r="D21" s="72"/>
      <c r="E21" s="77"/>
      <c r="F21" s="21">
        <v>7400000</v>
      </c>
      <c r="G21" s="22">
        <f t="shared" si="2"/>
        <v>616666.66666666663</v>
      </c>
      <c r="H21" s="33"/>
      <c r="I21" s="73">
        <f ca="1">'сод охраны'!B7</f>
        <v>550000</v>
      </c>
      <c r="J21" s="73">
        <f ca="1">'сод охраны'!C7</f>
        <v>550000</v>
      </c>
      <c r="K21" s="73">
        <f ca="1">'сод охраны'!D7</f>
        <v>600000</v>
      </c>
      <c r="L21" s="73">
        <f ca="1">'сод охраны'!E7</f>
        <v>600000</v>
      </c>
      <c r="M21" s="73">
        <f ca="1">'сод охраны'!F7</f>
        <v>600000</v>
      </c>
      <c r="N21" s="73">
        <f ca="1">'сод охраны'!G7</f>
        <v>600000</v>
      </c>
      <c r="O21" s="27"/>
      <c r="P21" s="27"/>
      <c r="Q21" s="27"/>
      <c r="R21" s="27"/>
      <c r="S21" s="28"/>
      <c r="T21" s="28"/>
      <c r="U21" s="29">
        <f t="shared" si="0"/>
        <v>3500000</v>
      </c>
      <c r="V21" s="30">
        <f t="shared" si="3"/>
        <v>3700000</v>
      </c>
      <c r="W21" s="74">
        <f t="shared" si="4"/>
        <v>200000</v>
      </c>
    </row>
    <row r="22" spans="1:24" ht="15.75">
      <c r="A22" s="13" t="s">
        <v>38</v>
      </c>
      <c r="B22" s="14"/>
      <c r="C22" s="14"/>
      <c r="D22" s="14"/>
      <c r="E22" s="14"/>
      <c r="F22" s="56">
        <v>230000</v>
      </c>
      <c r="G22" s="22">
        <f t="shared" si="2"/>
        <v>19166.666666666668</v>
      </c>
      <c r="H22" s="75"/>
      <c r="I22" s="76">
        <f ca="1">'содерж газ оборуд'!B6</f>
        <v>0</v>
      </c>
      <c r="J22" s="76">
        <f ca="1">'содерж газ оборуд'!C6</f>
        <v>49367.72</v>
      </c>
      <c r="K22" s="76">
        <f ca="1">'содерж газ оборуд'!D6</f>
        <v>24683.86</v>
      </c>
      <c r="L22" s="76">
        <f ca="1">'содерж газ оборуд'!E6</f>
        <v>24683.86</v>
      </c>
      <c r="M22" s="76">
        <f ca="1">'содерж газ оборуд'!F6</f>
        <v>24683.86</v>
      </c>
      <c r="N22" s="76">
        <f ca="1">'содерж газ оборуд'!G6</f>
        <v>0</v>
      </c>
      <c r="O22" s="60"/>
      <c r="P22" s="60"/>
      <c r="Q22" s="60"/>
      <c r="R22" s="60"/>
      <c r="S22" s="61"/>
      <c r="T22" s="61"/>
      <c r="U22" s="29">
        <f t="shared" si="0"/>
        <v>123419.3</v>
      </c>
      <c r="V22" s="30">
        <f t="shared" si="3"/>
        <v>115000</v>
      </c>
      <c r="W22" s="74">
        <f t="shared" si="4"/>
        <v>-8419.3000000000029</v>
      </c>
    </row>
    <row r="23" spans="1:24" ht="15.75">
      <c r="A23" s="71" t="s">
        <v>39</v>
      </c>
      <c r="B23" s="72"/>
      <c r="C23" s="72"/>
      <c r="D23" s="72"/>
      <c r="E23" s="72"/>
      <c r="F23" s="21">
        <v>1240000</v>
      </c>
      <c r="G23" s="22">
        <f t="shared" si="2"/>
        <v>103333.33333333333</v>
      </c>
      <c r="H23" s="33"/>
      <c r="I23" s="73">
        <f ca="1">'сод сетей водоснабжения'!B31</f>
        <v>0</v>
      </c>
      <c r="J23" s="73">
        <f ca="1">'сод сетей водоснабжения'!C31</f>
        <v>25627</v>
      </c>
      <c r="K23" s="73">
        <f ca="1">'сод сетей водоснабжения'!D31</f>
        <v>27068</v>
      </c>
      <c r="L23" s="73">
        <f ca="1">'сод сетей водоснабжения'!E31</f>
        <v>24547</v>
      </c>
      <c r="M23" s="73">
        <f ca="1">'сод сетей водоснабжения'!F31</f>
        <v>30329</v>
      </c>
      <c r="N23" s="73">
        <f ca="1">'сод сетей водоснабжения'!G31</f>
        <v>1585</v>
      </c>
      <c r="O23" s="27"/>
      <c r="P23" s="27"/>
      <c r="Q23" s="27"/>
      <c r="R23" s="27"/>
      <c r="S23" s="28"/>
      <c r="T23" s="28"/>
      <c r="U23" s="29">
        <f t="shared" si="0"/>
        <v>109156</v>
      </c>
      <c r="V23" s="30">
        <f t="shared" si="3"/>
        <v>620000</v>
      </c>
      <c r="W23" s="74">
        <f t="shared" si="4"/>
        <v>510844</v>
      </c>
    </row>
    <row r="24" spans="1:24" ht="15.75">
      <c r="A24" s="71" t="s">
        <v>40</v>
      </c>
      <c r="B24" s="72"/>
      <c r="C24" s="72"/>
      <c r="D24" s="72"/>
      <c r="E24" s="72"/>
      <c r="F24" s="21">
        <f>250000+480000</f>
        <v>730000</v>
      </c>
      <c r="G24" s="22">
        <f t="shared" si="2"/>
        <v>60833.333333333336</v>
      </c>
      <c r="H24" s="33"/>
      <c r="I24" s="73" t="e">
        <f>#REF!</f>
        <v>#REF!</v>
      </c>
      <c r="J24" s="73" t="e">
        <f>#REF!</f>
        <v>#REF!</v>
      </c>
      <c r="K24" s="73" t="e">
        <f>#REF!</f>
        <v>#REF!</v>
      </c>
      <c r="L24" s="73" t="e">
        <f>#REF!</f>
        <v>#REF!</v>
      </c>
      <c r="M24" s="73" t="e">
        <f>#REF!</f>
        <v>#REF!</v>
      </c>
      <c r="N24" s="73" t="e">
        <f>#REF!</f>
        <v>#REF!</v>
      </c>
      <c r="O24" s="27"/>
      <c r="P24" s="27"/>
      <c r="Q24" s="27"/>
      <c r="R24" s="27"/>
      <c r="S24" s="28"/>
      <c r="T24" s="28"/>
      <c r="U24" s="29" t="e">
        <f t="shared" si="0"/>
        <v>#REF!</v>
      </c>
      <c r="V24" s="30">
        <f t="shared" si="3"/>
        <v>365000</v>
      </c>
      <c r="W24" s="74" t="e">
        <f t="shared" si="4"/>
        <v>#REF!</v>
      </c>
    </row>
    <row r="25" spans="1:24" ht="15.75">
      <c r="A25" s="71" t="s">
        <v>41</v>
      </c>
      <c r="B25" s="72"/>
      <c r="C25" s="72"/>
      <c r="D25" s="72"/>
      <c r="E25" s="72"/>
      <c r="F25" s="21">
        <v>250000</v>
      </c>
      <c r="G25" s="22">
        <f t="shared" si="2"/>
        <v>20833.333333333332</v>
      </c>
      <c r="H25" s="33"/>
      <c r="I25" s="73" t="e">
        <f>#REF!</f>
        <v>#REF!</v>
      </c>
      <c r="J25" s="73" t="e">
        <f>#REF!</f>
        <v>#REF!</v>
      </c>
      <c r="K25" s="73" t="e">
        <f>#REF!</f>
        <v>#REF!</v>
      </c>
      <c r="L25" s="73" t="e">
        <f>#REF!</f>
        <v>#REF!</v>
      </c>
      <c r="M25" s="73" t="e">
        <f>#REF!</f>
        <v>#REF!</v>
      </c>
      <c r="N25" s="73" t="e">
        <f>#REF!</f>
        <v>#REF!</v>
      </c>
      <c r="O25" s="27"/>
      <c r="P25" s="27"/>
      <c r="Q25" s="27"/>
      <c r="R25" s="27"/>
      <c r="S25" s="28"/>
      <c r="T25" s="28"/>
      <c r="U25" s="29" t="e">
        <f t="shared" si="0"/>
        <v>#REF!</v>
      </c>
      <c r="V25" s="30">
        <f t="shared" si="3"/>
        <v>125000</v>
      </c>
      <c r="W25" s="74" t="e">
        <f t="shared" si="4"/>
        <v>#REF!</v>
      </c>
    </row>
    <row r="26" spans="1:24" ht="15.75">
      <c r="A26" s="71" t="s">
        <v>42</v>
      </c>
      <c r="B26" s="72"/>
      <c r="C26" s="72"/>
      <c r="D26" s="72"/>
      <c r="E26" s="72"/>
      <c r="F26" s="21">
        <v>1800000</v>
      </c>
      <c r="G26" s="22">
        <f t="shared" si="2"/>
        <v>150000</v>
      </c>
      <c r="H26" s="33"/>
      <c r="I26" s="73">
        <f ca="1">электроснабжение!B46</f>
        <v>82103.740000000005</v>
      </c>
      <c r="J26" s="73">
        <f ca="1">электроснабжение!C46</f>
        <v>80011.899999999994</v>
      </c>
      <c r="K26" s="73">
        <f ca="1">электроснабжение!D46</f>
        <v>130156.11</v>
      </c>
      <c r="L26" s="73">
        <f ca="1">электроснабжение!E46</f>
        <v>73282.55</v>
      </c>
      <c r="M26" s="73">
        <f ca="1">электроснабжение!F46</f>
        <v>179064.23</v>
      </c>
      <c r="N26" s="73">
        <f ca="1">электроснабжение!G46</f>
        <v>100748.04999999999</v>
      </c>
      <c r="O26" s="27"/>
      <c r="P26" s="27"/>
      <c r="Q26" s="27"/>
      <c r="R26" s="27"/>
      <c r="S26" s="28"/>
      <c r="T26" s="28"/>
      <c r="U26" s="29">
        <f t="shared" si="0"/>
        <v>645366.58000000007</v>
      </c>
      <c r="V26" s="30">
        <f t="shared" si="3"/>
        <v>900000</v>
      </c>
      <c r="W26" s="74">
        <f t="shared" si="4"/>
        <v>254633.41999999993</v>
      </c>
    </row>
    <row r="27" spans="1:24" ht="15.75">
      <c r="A27" s="71" t="s">
        <v>43</v>
      </c>
      <c r="B27" s="72"/>
      <c r="C27" s="72"/>
      <c r="D27" s="72"/>
      <c r="E27" s="72"/>
      <c r="F27" s="21">
        <v>1700000</v>
      </c>
      <c r="G27" s="22">
        <f t="shared" si="2"/>
        <v>141666.66666666666</v>
      </c>
      <c r="H27" s="33"/>
      <c r="I27" s="73" t="e">
        <f>#REF!</f>
        <v>#REF!</v>
      </c>
      <c r="J27" s="73" t="e">
        <f>#REF!</f>
        <v>#REF!</v>
      </c>
      <c r="K27" s="73" t="e">
        <f>#REF!</f>
        <v>#REF!</v>
      </c>
      <c r="L27" s="73" t="e">
        <f>#REF!</f>
        <v>#REF!</v>
      </c>
      <c r="M27" s="73" t="e">
        <f>#REF!</f>
        <v>#REF!</v>
      </c>
      <c r="N27" s="73" t="e">
        <f>#REF!</f>
        <v>#REF!</v>
      </c>
      <c r="O27" s="27"/>
      <c r="P27" s="27"/>
      <c r="Q27" s="27"/>
      <c r="R27" s="27"/>
      <c r="S27" s="28"/>
      <c r="T27" s="28"/>
      <c r="U27" s="29" t="e">
        <f t="shared" si="0"/>
        <v>#REF!</v>
      </c>
      <c r="V27" s="30">
        <f t="shared" si="3"/>
        <v>850000</v>
      </c>
      <c r="W27" s="74" t="e">
        <f t="shared" si="4"/>
        <v>#REF!</v>
      </c>
    </row>
    <row r="28" spans="1:24" ht="15.75">
      <c r="A28" s="71" t="s">
        <v>44</v>
      </c>
      <c r="B28" s="72"/>
      <c r="C28" s="72"/>
      <c r="D28" s="72"/>
      <c r="E28" s="72"/>
      <c r="F28" s="21">
        <v>600000</v>
      </c>
      <c r="G28" s="22">
        <f t="shared" si="2"/>
        <v>50000</v>
      </c>
      <c r="H28" s="33"/>
      <c r="I28" s="73">
        <f ca="1">'содерж дорог'!B45</f>
        <v>7978</v>
      </c>
      <c r="J28" s="73">
        <f ca="1">'содерж дорог'!C45</f>
        <v>33350</v>
      </c>
      <c r="K28" s="73">
        <f ca="1">'содерж дорог'!D45</f>
        <v>1300</v>
      </c>
      <c r="L28" s="73">
        <f ca="1">'содерж дорог'!E45</f>
        <v>0</v>
      </c>
      <c r="M28" s="73">
        <f ca="1">'содерж дорог'!F45</f>
        <v>111865</v>
      </c>
      <c r="N28" s="73">
        <f ca="1">'содерж дорог'!G45</f>
        <v>32420</v>
      </c>
      <c r="O28" s="27"/>
      <c r="P28" s="27"/>
      <c r="Q28" s="27"/>
      <c r="R28" s="27"/>
      <c r="S28" s="28"/>
      <c r="T28" s="28"/>
      <c r="U28" s="29">
        <f t="shared" si="0"/>
        <v>186913</v>
      </c>
      <c r="V28" s="30">
        <f t="shared" si="3"/>
        <v>300000</v>
      </c>
      <c r="W28" s="74">
        <f t="shared" si="4"/>
        <v>113087</v>
      </c>
    </row>
    <row r="29" spans="1:24" ht="15.75">
      <c r="A29" s="71" t="s">
        <v>45</v>
      </c>
      <c r="B29" s="72"/>
      <c r="C29" s="72"/>
      <c r="D29" s="72"/>
      <c r="E29" s="72"/>
      <c r="F29" s="21">
        <v>250000</v>
      </c>
      <c r="G29" s="22">
        <f t="shared" si="2"/>
        <v>20833.333333333332</v>
      </c>
      <c r="H29" s="33"/>
      <c r="I29" s="73">
        <f ca="1">благоустройство!B62</f>
        <v>23190</v>
      </c>
      <c r="J29" s="73">
        <f ca="1">благоустройство!C62</f>
        <v>34463</v>
      </c>
      <c r="K29" s="73">
        <f ca="1">благоустройство!D62</f>
        <v>11200</v>
      </c>
      <c r="L29" s="73">
        <f ca="1">благоустройство!E62</f>
        <v>6131.49</v>
      </c>
      <c r="M29" s="73">
        <f ca="1">благоустройство!F62</f>
        <v>18420</v>
      </c>
      <c r="N29" s="73">
        <f ca="1">благоустройство!G62</f>
        <v>4520.7</v>
      </c>
      <c r="O29" s="27"/>
      <c r="P29" s="27"/>
      <c r="Q29" s="27"/>
      <c r="R29" s="27"/>
      <c r="S29" s="28"/>
      <c r="T29" s="28"/>
      <c r="U29" s="29">
        <f t="shared" si="0"/>
        <v>97925.19</v>
      </c>
      <c r="V29" s="30">
        <f t="shared" si="3"/>
        <v>125000</v>
      </c>
      <c r="W29" s="74">
        <f t="shared" si="4"/>
        <v>27074.809999999998</v>
      </c>
    </row>
    <row r="30" spans="1:24" ht="15.75">
      <c r="A30" s="71" t="s">
        <v>46</v>
      </c>
      <c r="B30" s="72"/>
      <c r="C30" s="72"/>
      <c r="D30" s="72"/>
      <c r="E30" s="72"/>
      <c r="F30" s="21">
        <v>719200</v>
      </c>
      <c r="G30" s="22">
        <f t="shared" si="2"/>
        <v>59933.333333333336</v>
      </c>
      <c r="H30" s="33"/>
      <c r="I30" s="73" t="e">
        <f>#REF!</f>
        <v>#REF!</v>
      </c>
      <c r="J30" s="73" t="e">
        <f>#REF!</f>
        <v>#REF!</v>
      </c>
      <c r="K30" s="73" t="e">
        <f>#REF!</f>
        <v>#REF!</v>
      </c>
      <c r="L30" s="73" t="e">
        <f>#REF!</f>
        <v>#REF!</v>
      </c>
      <c r="M30" s="73" t="e">
        <f>#REF!</f>
        <v>#REF!</v>
      </c>
      <c r="N30" s="73" t="e">
        <f>#REF!</f>
        <v>#REF!</v>
      </c>
      <c r="O30" s="27"/>
      <c r="P30" s="27"/>
      <c r="Q30" s="27"/>
      <c r="R30" s="27"/>
      <c r="S30" s="28"/>
      <c r="T30" s="28"/>
      <c r="U30" s="29" t="e">
        <f t="shared" si="0"/>
        <v>#REF!</v>
      </c>
      <c r="V30" s="30">
        <f t="shared" si="3"/>
        <v>359600</v>
      </c>
      <c r="W30" s="74" t="e">
        <f t="shared" si="4"/>
        <v>#REF!</v>
      </c>
    </row>
    <row r="31" spans="1:24" ht="15.75">
      <c r="A31" s="79" t="s">
        <v>47</v>
      </c>
      <c r="B31" s="80"/>
      <c r="C31" s="80"/>
      <c r="D31" s="80"/>
      <c r="E31" s="80"/>
      <c r="F31" s="81">
        <v>1473800</v>
      </c>
      <c r="G31" s="82">
        <f t="shared" si="2"/>
        <v>122816.66666666667</v>
      </c>
      <c r="H31" s="42"/>
      <c r="I31" s="83">
        <f ca="1">'резервный фонд'!B66</f>
        <v>50000</v>
      </c>
      <c r="J31" s="83">
        <f ca="1">'резервный фонд'!C66</f>
        <v>106408</v>
      </c>
      <c r="K31" s="83">
        <f ca="1">'резервный фонд'!D66</f>
        <v>313600</v>
      </c>
      <c r="L31" s="83">
        <f ca="1">'резервный фонд'!E66</f>
        <v>309560</v>
      </c>
      <c r="M31" s="83">
        <f ca="1">'резервный фонд'!F66</f>
        <v>257215</v>
      </c>
      <c r="N31" s="83">
        <f ca="1">'резервный фонд'!G66</f>
        <v>78000</v>
      </c>
      <c r="O31" s="51"/>
      <c r="P31" s="51"/>
      <c r="Q31" s="51"/>
      <c r="R31" s="51"/>
      <c r="S31" s="84"/>
      <c r="T31" s="84"/>
      <c r="U31" s="53">
        <f t="shared" si="0"/>
        <v>1114783</v>
      </c>
      <c r="V31" s="30">
        <f t="shared" si="3"/>
        <v>736900</v>
      </c>
      <c r="W31" s="85">
        <f t="shared" si="4"/>
        <v>-377883</v>
      </c>
      <c r="X31" s="86"/>
    </row>
    <row r="32" spans="1:24" ht="15.75">
      <c r="A32" s="334" t="s">
        <v>48</v>
      </c>
      <c r="B32" s="335"/>
      <c r="C32" s="335"/>
      <c r="D32" s="335"/>
      <c r="E32" s="336"/>
      <c r="F32" s="56">
        <f>SUM(F12:F31)</f>
        <v>30950000</v>
      </c>
      <c r="G32" s="57">
        <f>SUM(G12:G31)</f>
        <v>2579166.6666666665</v>
      </c>
      <c r="H32" s="75"/>
      <c r="I32" s="87" t="e">
        <f>SUM(I12:I31)</f>
        <v>#REF!</v>
      </c>
      <c r="J32" s="87" t="e">
        <f>SUM(J12:J31)</f>
        <v>#REF!</v>
      </c>
      <c r="K32" s="87" t="e">
        <f t="shared" ref="K32:U32" si="5">SUM(K12:K31)</f>
        <v>#REF!</v>
      </c>
      <c r="L32" s="88" t="e">
        <f t="shared" si="5"/>
        <v>#REF!</v>
      </c>
      <c r="M32" s="89" t="e">
        <f t="shared" si="5"/>
        <v>#REF!</v>
      </c>
      <c r="N32" s="89" t="e">
        <f t="shared" si="5"/>
        <v>#REF!</v>
      </c>
      <c r="O32" s="60">
        <f t="shared" si="5"/>
        <v>0</v>
      </c>
      <c r="P32" s="60">
        <f t="shared" si="5"/>
        <v>0</v>
      </c>
      <c r="Q32" s="60">
        <f t="shared" si="5"/>
        <v>0</v>
      </c>
      <c r="R32" s="60">
        <f t="shared" si="5"/>
        <v>0</v>
      </c>
      <c r="S32" s="61">
        <f t="shared" si="5"/>
        <v>0</v>
      </c>
      <c r="T32" s="61">
        <f t="shared" si="5"/>
        <v>0</v>
      </c>
      <c r="U32" s="62" t="e">
        <f t="shared" si="5"/>
        <v>#REF!</v>
      </c>
      <c r="V32" s="30">
        <f>G32*5</f>
        <v>12895833.333333332</v>
      </c>
      <c r="W32" s="90" t="e">
        <f>SUM(W12:W31)</f>
        <v>#REF!</v>
      </c>
    </row>
    <row r="34" spans="1:23">
      <c r="A34" s="337" t="s">
        <v>49</v>
      </c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91"/>
      <c r="W34" s="91"/>
    </row>
    <row r="35" spans="1:23">
      <c r="A35" s="338" t="s">
        <v>50</v>
      </c>
      <c r="B35" s="339"/>
      <c r="C35" s="339"/>
      <c r="D35" s="339"/>
      <c r="E35" s="339"/>
      <c r="F35" s="340"/>
      <c r="G35" s="340"/>
      <c r="H35" s="339"/>
      <c r="I35" s="340"/>
      <c r="J35" s="340"/>
      <c r="K35" s="340"/>
      <c r="L35" s="339"/>
      <c r="M35" s="92"/>
      <c r="N35" s="92"/>
      <c r="O35" s="92"/>
      <c r="P35" s="92"/>
      <c r="Q35" s="92"/>
      <c r="R35" s="92"/>
      <c r="S35" s="92"/>
      <c r="T35" s="92"/>
      <c r="U35" s="93"/>
      <c r="V35" s="91"/>
      <c r="W35" s="91"/>
    </row>
    <row r="36" spans="1:23">
      <c r="A36" s="321" t="s">
        <v>51</v>
      </c>
      <c r="B36" s="322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3"/>
      <c r="V36" s="91"/>
      <c r="W36" s="91"/>
    </row>
    <row r="37" spans="1:23">
      <c r="A37" s="94"/>
      <c r="B37" s="94"/>
      <c r="C37" s="94"/>
      <c r="D37" s="94"/>
      <c r="E37" s="94"/>
      <c r="F37" s="91"/>
      <c r="G37" s="91"/>
      <c r="H37" s="94"/>
      <c r="I37" s="91"/>
      <c r="J37" s="91"/>
      <c r="K37" s="91"/>
      <c r="L37" s="94"/>
      <c r="M37" s="94"/>
      <c r="N37" s="94"/>
      <c r="O37" s="94"/>
      <c r="P37" s="94"/>
      <c r="Q37" s="94"/>
      <c r="R37" s="94"/>
      <c r="S37" s="94"/>
      <c r="T37" s="94"/>
      <c r="U37" s="91"/>
      <c r="V37" s="91"/>
      <c r="W37" s="91"/>
    </row>
    <row r="38" spans="1:23">
      <c r="A38" s="324"/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6"/>
      <c r="V38" s="91"/>
      <c r="W38" s="91"/>
    </row>
    <row r="39" spans="1:23">
      <c r="A39" s="327"/>
      <c r="B39" s="328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9"/>
      <c r="V39" s="91"/>
      <c r="W39" s="91"/>
    </row>
    <row r="40" spans="1:23">
      <c r="A40" s="94"/>
      <c r="B40" s="94"/>
      <c r="C40" s="94"/>
      <c r="D40" s="94"/>
      <c r="E40" s="94"/>
      <c r="F40" s="91"/>
      <c r="G40" s="91"/>
      <c r="H40" s="94"/>
      <c r="I40" s="91"/>
      <c r="J40" s="91"/>
      <c r="K40" s="91"/>
      <c r="L40" s="94"/>
      <c r="M40" s="94"/>
      <c r="N40" s="94"/>
      <c r="O40" s="94"/>
      <c r="P40" s="94"/>
      <c r="Q40" s="94"/>
      <c r="R40" s="94"/>
      <c r="S40" s="94"/>
      <c r="T40" s="94"/>
      <c r="U40" s="91"/>
      <c r="V40" s="91"/>
      <c r="W40" s="91"/>
    </row>
    <row r="41" spans="1:23">
      <c r="A41" s="94"/>
      <c r="B41" s="94"/>
      <c r="C41" s="94"/>
      <c r="D41" s="94"/>
      <c r="E41" s="94"/>
      <c r="F41" s="91"/>
      <c r="G41" s="91"/>
      <c r="H41" s="94"/>
      <c r="I41" s="91"/>
      <c r="J41" s="91"/>
      <c r="K41" s="91"/>
      <c r="L41" s="94"/>
      <c r="M41" s="94"/>
      <c r="N41" s="94"/>
      <c r="O41" s="94"/>
      <c r="P41" s="94"/>
      <c r="Q41" s="94"/>
      <c r="R41" s="94"/>
      <c r="S41" s="94"/>
      <c r="T41" s="94"/>
      <c r="U41" s="91"/>
      <c r="V41" s="91"/>
      <c r="W41" s="91"/>
    </row>
    <row r="42" spans="1:23">
      <c r="A42" s="94"/>
      <c r="B42" s="94"/>
      <c r="C42" s="94"/>
      <c r="D42" s="94"/>
      <c r="E42" s="94"/>
      <c r="F42" s="91"/>
      <c r="G42" s="91"/>
      <c r="H42" s="94"/>
      <c r="I42" s="91"/>
      <c r="J42" s="91"/>
      <c r="K42" s="91"/>
      <c r="L42" s="94"/>
      <c r="M42" s="94"/>
      <c r="N42" s="94"/>
      <c r="O42" s="94"/>
      <c r="P42" s="94"/>
      <c r="Q42" s="94"/>
      <c r="R42" s="94"/>
      <c r="S42" s="94"/>
      <c r="T42" s="94"/>
      <c r="U42" s="91"/>
      <c r="V42" s="91"/>
      <c r="W42" s="91"/>
    </row>
    <row r="43" spans="1:23">
      <c r="A43" s="94"/>
      <c r="B43" s="94"/>
      <c r="C43" s="94"/>
      <c r="D43" s="94"/>
      <c r="E43" s="94"/>
      <c r="F43" s="91"/>
      <c r="G43" s="91"/>
      <c r="H43" s="94"/>
      <c r="I43" s="91"/>
      <c r="J43" s="91"/>
      <c r="K43" s="91"/>
      <c r="L43" s="94"/>
      <c r="M43" s="94"/>
      <c r="N43" s="94"/>
      <c r="O43" s="94"/>
      <c r="P43" s="94"/>
      <c r="Q43" s="94"/>
      <c r="R43" s="94"/>
      <c r="S43" s="94"/>
      <c r="T43" s="94"/>
      <c r="U43" s="91"/>
      <c r="V43" s="91"/>
      <c r="W43" s="91"/>
    </row>
    <row r="44" spans="1:23">
      <c r="A44" s="94"/>
      <c r="B44" s="94"/>
      <c r="C44" s="94"/>
      <c r="D44" s="94"/>
      <c r="E44" s="94"/>
      <c r="F44" s="91"/>
      <c r="G44" s="91"/>
      <c r="H44" s="94"/>
      <c r="I44" s="91"/>
      <c r="J44" s="91"/>
      <c r="K44" s="91"/>
      <c r="L44" s="94"/>
      <c r="M44" s="94"/>
      <c r="N44" s="94"/>
      <c r="O44" s="94"/>
      <c r="P44" s="94"/>
      <c r="Q44" s="94"/>
      <c r="R44" s="94"/>
      <c r="S44" s="94"/>
      <c r="T44" s="94"/>
      <c r="U44" s="91"/>
      <c r="V44" s="91"/>
      <c r="W44" s="91"/>
    </row>
    <row r="45" spans="1:23">
      <c r="A45" s="94"/>
      <c r="B45" s="94"/>
      <c r="C45" s="94"/>
      <c r="D45" s="94"/>
      <c r="E45" s="94"/>
      <c r="F45" s="91"/>
      <c r="G45" s="91"/>
      <c r="H45" s="94"/>
      <c r="I45" s="91"/>
      <c r="J45" s="91"/>
      <c r="K45" s="91"/>
      <c r="L45" s="94"/>
      <c r="M45" s="94"/>
      <c r="N45" s="94"/>
      <c r="O45" s="94"/>
      <c r="P45" s="94"/>
      <c r="Q45" s="94"/>
      <c r="R45" s="94"/>
      <c r="S45" s="94"/>
      <c r="T45" s="94"/>
      <c r="U45" s="91"/>
      <c r="V45" s="91"/>
      <c r="W45" s="91"/>
    </row>
    <row r="46" spans="1:23">
      <c r="A46" s="94"/>
      <c r="B46" s="94"/>
      <c r="C46" s="94"/>
      <c r="D46" s="94"/>
      <c r="E46" s="94"/>
      <c r="F46" s="91"/>
      <c r="G46" s="91"/>
      <c r="H46" s="94"/>
      <c r="I46" s="91"/>
      <c r="J46" s="91"/>
      <c r="K46" s="91"/>
      <c r="L46" s="94"/>
      <c r="M46" s="94"/>
      <c r="N46" s="94"/>
      <c r="O46" s="94"/>
      <c r="P46" s="94"/>
      <c r="Q46" s="94"/>
      <c r="R46" s="94"/>
      <c r="S46" s="94"/>
      <c r="T46" s="94"/>
      <c r="U46" s="91"/>
      <c r="V46" s="91"/>
      <c r="W46" s="91"/>
    </row>
    <row r="47" spans="1:23">
      <c r="A47" s="94"/>
      <c r="B47" s="94"/>
      <c r="C47" s="94"/>
      <c r="D47" s="94"/>
      <c r="E47" s="94"/>
      <c r="F47" s="91"/>
      <c r="G47" s="91"/>
      <c r="H47" s="94"/>
      <c r="I47" s="91"/>
      <c r="J47" s="91"/>
      <c r="K47" s="91"/>
      <c r="L47" s="94"/>
      <c r="M47" s="94"/>
      <c r="N47" s="94"/>
      <c r="O47" s="94"/>
      <c r="P47" s="94"/>
      <c r="Q47" s="94"/>
      <c r="R47" s="94"/>
      <c r="S47" s="94"/>
      <c r="T47" s="94"/>
      <c r="U47" s="91"/>
      <c r="V47" s="91"/>
      <c r="W47" s="91"/>
    </row>
    <row r="48" spans="1:23">
      <c r="A48" s="94"/>
      <c r="B48" s="94"/>
      <c r="C48" s="94"/>
      <c r="D48" s="94"/>
      <c r="E48" s="94"/>
      <c r="F48" s="91"/>
      <c r="G48" s="91"/>
      <c r="H48" s="94"/>
      <c r="I48" s="91"/>
      <c r="J48" s="91"/>
      <c r="K48" s="91"/>
      <c r="L48" s="94"/>
      <c r="M48" s="94"/>
      <c r="N48" s="94"/>
      <c r="O48" s="94"/>
      <c r="P48" s="94"/>
      <c r="Q48" s="94"/>
      <c r="R48" s="94"/>
      <c r="S48" s="94"/>
      <c r="T48" s="94"/>
      <c r="U48" s="91"/>
      <c r="V48" s="91"/>
      <c r="W48" s="91"/>
    </row>
    <row r="49" spans="1:23">
      <c r="A49" s="94"/>
      <c r="B49" s="94"/>
      <c r="C49" s="94"/>
      <c r="D49" s="94"/>
      <c r="E49" s="94"/>
      <c r="F49" s="91"/>
      <c r="G49" s="91"/>
      <c r="H49" s="94"/>
      <c r="I49" s="91"/>
      <c r="J49" s="91"/>
      <c r="K49" s="91"/>
      <c r="L49" s="94"/>
      <c r="M49" s="94"/>
      <c r="N49" s="94"/>
      <c r="O49" s="94"/>
      <c r="P49" s="94"/>
      <c r="Q49" s="94"/>
      <c r="R49" s="94"/>
      <c r="S49" s="94"/>
      <c r="T49" s="94"/>
      <c r="U49" s="91"/>
      <c r="V49" s="91"/>
      <c r="W49" s="91"/>
    </row>
    <row r="50" spans="1:23">
      <c r="A50" s="94"/>
      <c r="B50" s="94"/>
      <c r="C50" s="94"/>
      <c r="D50" s="94"/>
      <c r="E50" s="94"/>
      <c r="F50" s="91"/>
      <c r="G50" s="91"/>
      <c r="H50" s="94"/>
      <c r="I50" s="91"/>
      <c r="J50" s="91"/>
      <c r="K50" s="91"/>
      <c r="L50" s="94"/>
      <c r="M50" s="94"/>
      <c r="N50" s="94"/>
      <c r="O50" s="94"/>
      <c r="P50" s="94"/>
      <c r="Q50" s="94"/>
      <c r="R50" s="94"/>
      <c r="S50" s="94"/>
      <c r="T50" s="94"/>
      <c r="U50" s="91"/>
      <c r="V50" s="91"/>
      <c r="W50" s="91"/>
    </row>
    <row r="51" spans="1:23">
      <c r="A51" s="94"/>
      <c r="B51" s="94"/>
      <c r="C51" s="94"/>
      <c r="D51" s="94"/>
      <c r="E51" s="94"/>
      <c r="F51" s="91"/>
      <c r="G51" s="91"/>
      <c r="H51" s="94"/>
      <c r="I51" s="91"/>
      <c r="J51" s="91"/>
      <c r="K51" s="91"/>
      <c r="L51" s="94"/>
      <c r="M51" s="94"/>
      <c r="N51" s="94"/>
      <c r="O51" s="94"/>
      <c r="P51" s="94"/>
      <c r="Q51" s="94"/>
      <c r="R51" s="94"/>
      <c r="S51" s="94"/>
      <c r="T51" s="94"/>
      <c r="U51" s="91"/>
      <c r="V51" s="91"/>
      <c r="W51" s="91"/>
    </row>
    <row r="52" spans="1:23">
      <c r="A52" s="94"/>
      <c r="B52" s="94"/>
      <c r="C52" s="94"/>
      <c r="D52" s="94"/>
      <c r="E52" s="94"/>
      <c r="F52" s="91"/>
      <c r="G52" s="91"/>
      <c r="H52" s="94"/>
      <c r="I52" s="91"/>
      <c r="J52" s="91"/>
      <c r="K52" s="91"/>
      <c r="L52" s="94"/>
      <c r="M52" s="94"/>
      <c r="N52" s="94"/>
      <c r="O52" s="94"/>
      <c r="P52" s="94"/>
      <c r="Q52" s="94"/>
      <c r="R52" s="94"/>
      <c r="S52" s="94"/>
      <c r="T52" s="94"/>
      <c r="U52" s="91"/>
      <c r="V52" s="91"/>
      <c r="W52" s="91"/>
    </row>
    <row r="53" spans="1:23">
      <c r="A53" s="94"/>
      <c r="B53" s="94"/>
      <c r="C53" s="94"/>
      <c r="D53" s="94"/>
      <c r="E53" s="94"/>
      <c r="F53" s="91"/>
      <c r="G53" s="91"/>
      <c r="H53" s="94"/>
      <c r="I53" s="91"/>
      <c r="J53" s="91"/>
      <c r="K53" s="91"/>
      <c r="L53" s="94"/>
      <c r="M53" s="94"/>
      <c r="N53" s="94"/>
      <c r="O53" s="94"/>
      <c r="P53" s="94"/>
      <c r="Q53" s="94"/>
      <c r="R53" s="94"/>
      <c r="S53" s="94"/>
      <c r="T53" s="94"/>
      <c r="U53" s="91"/>
      <c r="V53" s="91"/>
      <c r="W53" s="91"/>
    </row>
    <row r="54" spans="1:23">
      <c r="A54" s="94"/>
      <c r="B54" s="94"/>
      <c r="C54" s="94"/>
      <c r="D54" s="94"/>
      <c r="E54" s="94"/>
      <c r="F54" s="91"/>
      <c r="G54" s="91"/>
      <c r="H54" s="94"/>
      <c r="I54" s="91"/>
      <c r="J54" s="91"/>
      <c r="K54" s="91"/>
      <c r="L54" s="94"/>
      <c r="M54" s="94"/>
      <c r="N54" s="94"/>
      <c r="O54" s="94"/>
      <c r="P54" s="94"/>
      <c r="Q54" s="94"/>
      <c r="R54" s="94"/>
      <c r="S54" s="94"/>
      <c r="T54" s="94"/>
      <c r="U54" s="91"/>
      <c r="V54" s="91"/>
      <c r="W54" s="91"/>
    </row>
    <row r="55" spans="1:23">
      <c r="I55" s="91"/>
    </row>
  </sheetData>
  <mergeCells count="18">
    <mergeCell ref="V3:V4"/>
    <mergeCell ref="W3:W4"/>
    <mergeCell ref="A10:E10"/>
    <mergeCell ref="A11:E11"/>
    <mergeCell ref="A3:E3"/>
    <mergeCell ref="F3:F4"/>
    <mergeCell ref="G3:G4"/>
    <mergeCell ref="I3:I4"/>
    <mergeCell ref="J3:J4"/>
    <mergeCell ref="K3:K4"/>
    <mergeCell ref="A36:U36"/>
    <mergeCell ref="A38:U38"/>
    <mergeCell ref="A39:U39"/>
    <mergeCell ref="L3:L4"/>
    <mergeCell ref="U3:U4"/>
    <mergeCell ref="A32:E32"/>
    <mergeCell ref="A34:U34"/>
    <mergeCell ref="A35:L35"/>
  </mergeCells>
  <phoneticPr fontId="22" type="noConversion"/>
  <pageMargins left="0.70866141732283472" right="0.70866141732283472" top="0" bottom="0" header="0" footer="0"/>
  <pageSetup paperSize="9" scale="91" firstPageNumber="4294967295" orientation="landscape" verticalDpi="18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A1:N9"/>
  <sheetViews>
    <sheetView workbookViewId="0">
      <selection activeCell="K5" sqref="K5"/>
    </sheetView>
  </sheetViews>
  <sheetFormatPr defaultRowHeight="15"/>
  <cols>
    <col min="1" max="1" width="22.28515625" bestFit="1" customWidth="1"/>
    <col min="2" max="2" width="10.7109375" customWidth="1"/>
    <col min="3" max="3" width="8.140625" customWidth="1"/>
    <col min="5" max="5" width="8.140625" customWidth="1"/>
    <col min="6" max="6" width="8.28515625" customWidth="1"/>
    <col min="7" max="7" width="9.42578125" customWidth="1"/>
    <col min="8" max="8" width="10" style="1" customWidth="1"/>
  </cols>
  <sheetData>
    <row r="1" spans="1:14">
      <c r="A1" s="249" t="s">
        <v>37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15"/>
      <c r="I1" s="256"/>
      <c r="J1" s="256"/>
      <c r="K1" s="256"/>
      <c r="L1" s="256"/>
      <c r="M1" s="256"/>
      <c r="N1" s="250"/>
    </row>
    <row r="2" spans="1:14">
      <c r="A2" s="250"/>
      <c r="B2" s="271" t="s">
        <v>4</v>
      </c>
      <c r="C2" s="271" t="s">
        <v>5</v>
      </c>
      <c r="D2" s="271" t="s">
        <v>6</v>
      </c>
      <c r="E2" s="272" t="s">
        <v>7</v>
      </c>
      <c r="F2" s="271" t="s">
        <v>8</v>
      </c>
      <c r="G2" s="272" t="s">
        <v>9</v>
      </c>
      <c r="H2" s="219" t="s">
        <v>14</v>
      </c>
      <c r="I2" s="272" t="s">
        <v>15</v>
      </c>
      <c r="J2" s="271" t="s">
        <v>16</v>
      </c>
      <c r="K2" s="271" t="s">
        <v>17</v>
      </c>
      <c r="L2" s="271" t="s">
        <v>18</v>
      </c>
      <c r="M2" s="271" t="s">
        <v>19</v>
      </c>
      <c r="N2" s="271"/>
    </row>
    <row r="3" spans="1:14">
      <c r="A3" s="256"/>
      <c r="B3" s="243"/>
      <c r="C3" s="243"/>
      <c r="D3" s="243"/>
      <c r="E3" s="244"/>
      <c r="F3" s="243"/>
      <c r="G3" s="244"/>
      <c r="H3" s="224"/>
      <c r="I3" s="244"/>
      <c r="J3" s="243"/>
      <c r="K3" s="243"/>
      <c r="L3" s="243"/>
      <c r="M3" s="243"/>
      <c r="N3" s="243"/>
    </row>
    <row r="4" spans="1:14">
      <c r="A4" s="256"/>
      <c r="B4" s="245">
        <v>550000</v>
      </c>
      <c r="C4" s="245">
        <v>550000</v>
      </c>
      <c r="D4" s="245">
        <v>600000</v>
      </c>
      <c r="E4" s="245">
        <v>600000</v>
      </c>
      <c r="F4" s="245">
        <v>600000</v>
      </c>
      <c r="G4" s="245">
        <v>600000</v>
      </c>
      <c r="H4" s="245">
        <v>600000</v>
      </c>
      <c r="I4" s="193">
        <v>600000</v>
      </c>
      <c r="J4" s="193">
        <v>600000</v>
      </c>
      <c r="K4" s="193">
        <v>600000</v>
      </c>
      <c r="L4" s="193"/>
      <c r="M4" s="193"/>
      <c r="N4" s="243">
        <f>SUM(B4:M4)</f>
        <v>5900000</v>
      </c>
    </row>
    <row r="5" spans="1:14">
      <c r="A5" s="256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43">
        <f>SUM(B5:M5)</f>
        <v>0</v>
      </c>
    </row>
    <row r="6" spans="1:14">
      <c r="A6" s="250"/>
      <c r="B6" s="245"/>
      <c r="C6" s="245"/>
      <c r="D6" s="245"/>
      <c r="E6" s="245"/>
      <c r="F6" s="245"/>
      <c r="G6" s="245"/>
      <c r="H6" s="229"/>
      <c r="I6" s="245"/>
      <c r="J6" s="245"/>
      <c r="K6" s="245"/>
      <c r="L6" s="245"/>
      <c r="M6" s="245"/>
      <c r="N6" s="243">
        <f>SUM(B6:M6)</f>
        <v>0</v>
      </c>
    </row>
    <row r="7" spans="1:14">
      <c r="A7" s="249" t="s">
        <v>104</v>
      </c>
      <c r="B7" s="263">
        <f t="shared" ref="B7:M7" si="0">SUM(B4:B6)</f>
        <v>550000</v>
      </c>
      <c r="C7" s="263">
        <f t="shared" si="0"/>
        <v>550000</v>
      </c>
      <c r="D7" s="263">
        <f t="shared" si="0"/>
        <v>600000</v>
      </c>
      <c r="E7" s="263">
        <f t="shared" si="0"/>
        <v>600000</v>
      </c>
      <c r="F7" s="263">
        <f t="shared" si="0"/>
        <v>600000</v>
      </c>
      <c r="G7" s="263">
        <f t="shared" si="0"/>
        <v>600000</v>
      </c>
      <c r="H7" s="263">
        <f t="shared" si="0"/>
        <v>600000</v>
      </c>
      <c r="I7" s="263">
        <f t="shared" si="0"/>
        <v>600000</v>
      </c>
      <c r="J7" s="263">
        <f t="shared" si="0"/>
        <v>600000</v>
      </c>
      <c r="K7" s="263">
        <f t="shared" si="0"/>
        <v>600000</v>
      </c>
      <c r="L7" s="263">
        <f t="shared" si="0"/>
        <v>0</v>
      </c>
      <c r="M7" s="263">
        <f t="shared" si="0"/>
        <v>0</v>
      </c>
      <c r="N7" s="263">
        <f>SUM(N4:N6)</f>
        <v>5900000</v>
      </c>
    </row>
    <row r="9" spans="1:14">
      <c r="C9" t="s">
        <v>141</v>
      </c>
      <c r="N9" s="255">
        <f>SUM(B7:M7)-N7</f>
        <v>0</v>
      </c>
    </row>
  </sheetData>
  <phoneticPr fontId="22" type="noConversion"/>
  <pageMargins left="0.25" right="0.25" top="0.75" bottom="0.75" header="0.3" footer="0.3"/>
  <pageSetup paperSize="9" firstPageNumber="4294967295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749992370372631"/>
    <pageSetUpPr fitToPage="1"/>
  </sheetPr>
  <dimension ref="A1:N12"/>
  <sheetViews>
    <sheetView workbookViewId="0">
      <selection activeCell="K6" sqref="K6"/>
    </sheetView>
  </sheetViews>
  <sheetFormatPr defaultRowHeight="15"/>
  <cols>
    <col min="1" max="1" width="38" bestFit="1" customWidth="1"/>
    <col min="2" max="2" width="10.85546875" customWidth="1"/>
    <col min="3" max="3" width="8.5703125" customWidth="1"/>
    <col min="4" max="4" width="9.7109375" customWidth="1"/>
    <col min="6" max="6" width="12.7109375" customWidth="1"/>
    <col min="10" max="10" width="7.42578125" customWidth="1"/>
    <col min="11" max="11" width="7.85546875" customWidth="1"/>
    <col min="12" max="12" width="9.7109375" customWidth="1"/>
  </cols>
  <sheetData>
    <row r="1" spans="1:14">
      <c r="A1" s="249" t="s">
        <v>36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71" t="s">
        <v>4</v>
      </c>
      <c r="C2" s="271" t="s">
        <v>5</v>
      </c>
      <c r="D2" s="271" t="s">
        <v>6</v>
      </c>
      <c r="E2" s="271" t="s">
        <v>7</v>
      </c>
      <c r="F2" s="271" t="s">
        <v>8</v>
      </c>
      <c r="G2" s="271" t="s">
        <v>9</v>
      </c>
      <c r="H2" s="271" t="s">
        <v>14</v>
      </c>
      <c r="I2" s="271" t="s">
        <v>15</v>
      </c>
      <c r="J2" s="271" t="s">
        <v>16</v>
      </c>
      <c r="K2" s="271" t="s">
        <v>17</v>
      </c>
      <c r="L2" s="271" t="s">
        <v>18</v>
      </c>
      <c r="M2" s="271" t="s">
        <v>19</v>
      </c>
      <c r="N2" s="271"/>
    </row>
    <row r="3" spans="1:14">
      <c r="A3" s="245" t="s">
        <v>142</v>
      </c>
      <c r="B3" s="245">
        <v>445000</v>
      </c>
      <c r="C3" s="245">
        <v>390000</v>
      </c>
      <c r="D3" s="245">
        <v>385000</v>
      </c>
      <c r="E3" s="245">
        <v>380000</v>
      </c>
      <c r="F3" s="245">
        <v>470000</v>
      </c>
      <c r="G3" s="245">
        <v>861000</v>
      </c>
      <c r="H3" s="245">
        <v>411000</v>
      </c>
      <c r="I3" s="245">
        <v>280000</v>
      </c>
      <c r="J3" s="245">
        <v>265000</v>
      </c>
      <c r="K3" s="245">
        <v>240000</v>
      </c>
      <c r="L3" s="245"/>
      <c r="M3" s="245"/>
      <c r="N3" s="245">
        <f t="shared" ref="N3:N9" si="0">SUM(B3:M3)</f>
        <v>4127000</v>
      </c>
    </row>
    <row r="4" spans="1:14">
      <c r="A4" s="245" t="s">
        <v>143</v>
      </c>
      <c r="B4" s="245">
        <v>66000</v>
      </c>
      <c r="C4" s="245">
        <v>66000</v>
      </c>
      <c r="D4" s="245">
        <v>66000</v>
      </c>
      <c r="E4" s="245"/>
      <c r="F4" s="245"/>
      <c r="G4" s="245"/>
      <c r="H4" s="245"/>
      <c r="I4" s="245"/>
      <c r="J4" s="245"/>
      <c r="K4" s="245"/>
      <c r="L4" s="245"/>
      <c r="M4" s="245"/>
      <c r="N4" s="245">
        <f t="shared" si="0"/>
        <v>198000</v>
      </c>
    </row>
    <row r="5" spans="1:14">
      <c r="A5" s="245" t="s">
        <v>174</v>
      </c>
      <c r="B5" s="245"/>
      <c r="C5" s="245">
        <v>26771.439999999999</v>
      </c>
      <c r="D5" s="245">
        <v>75195.009999999995</v>
      </c>
      <c r="E5" s="245">
        <v>34911.97</v>
      </c>
      <c r="F5" s="245">
        <v>34911.97</v>
      </c>
      <c r="G5" s="245">
        <v>34911.97</v>
      </c>
      <c r="H5" s="245">
        <v>34911.97</v>
      </c>
      <c r="I5" s="245">
        <v>37711.300000000003</v>
      </c>
      <c r="J5" s="245">
        <v>35017.629999999997</v>
      </c>
      <c r="K5" s="245">
        <v>32323.97</v>
      </c>
      <c r="L5" s="245"/>
      <c r="M5" s="245"/>
      <c r="N5" s="245">
        <f t="shared" si="0"/>
        <v>346667.23</v>
      </c>
    </row>
    <row r="6" spans="1:14">
      <c r="A6" s="245" t="s">
        <v>174</v>
      </c>
      <c r="B6" s="245"/>
      <c r="C6" s="245">
        <v>166167.54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>
        <f t="shared" si="0"/>
        <v>166167.54</v>
      </c>
    </row>
    <row r="7" spans="1:14">
      <c r="A7" s="245" t="s">
        <v>234</v>
      </c>
      <c r="B7" s="245"/>
      <c r="C7" s="245"/>
      <c r="D7" s="245"/>
      <c r="E7" s="245">
        <v>21000</v>
      </c>
      <c r="F7" s="245"/>
      <c r="G7" s="245"/>
      <c r="H7" s="245"/>
      <c r="I7" s="245"/>
      <c r="J7" s="245"/>
      <c r="K7" s="245"/>
      <c r="L7" s="245"/>
      <c r="M7" s="245"/>
      <c r="N7" s="245">
        <f t="shared" si="0"/>
        <v>21000</v>
      </c>
    </row>
    <row r="8" spans="1:14">
      <c r="A8" s="245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>
        <f t="shared" si="0"/>
        <v>0</v>
      </c>
    </row>
    <row r="9" spans="1:14">
      <c r="A9" s="245"/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>
        <f t="shared" si="0"/>
        <v>0</v>
      </c>
    </row>
    <row r="10" spans="1:14">
      <c r="A10" s="249" t="s">
        <v>104</v>
      </c>
      <c r="B10" s="263">
        <f t="shared" ref="B10:N10" si="1">SUM(B3:B9)</f>
        <v>511000</v>
      </c>
      <c r="C10" s="263">
        <f t="shared" si="1"/>
        <v>648938.98</v>
      </c>
      <c r="D10" s="263">
        <f t="shared" si="1"/>
        <v>526195.01</v>
      </c>
      <c r="E10" s="263">
        <f t="shared" si="1"/>
        <v>435911.97</v>
      </c>
      <c r="F10" s="263">
        <f t="shared" si="1"/>
        <v>504911.97</v>
      </c>
      <c r="G10" s="263">
        <f t="shared" si="1"/>
        <v>895911.97</v>
      </c>
      <c r="H10" s="263">
        <f t="shared" si="1"/>
        <v>445911.97</v>
      </c>
      <c r="I10" s="263">
        <f t="shared" si="1"/>
        <v>317711.3</v>
      </c>
      <c r="J10" s="263">
        <f t="shared" si="1"/>
        <v>300017.63</v>
      </c>
      <c r="K10" s="263">
        <f t="shared" si="1"/>
        <v>272323.96999999997</v>
      </c>
      <c r="L10" s="263">
        <f t="shared" si="1"/>
        <v>0</v>
      </c>
      <c r="M10" s="263">
        <f t="shared" si="1"/>
        <v>0</v>
      </c>
      <c r="N10" s="263">
        <f t="shared" si="1"/>
        <v>4858834.7700000005</v>
      </c>
    </row>
    <row r="12" spans="1:14">
      <c r="N12" s="255">
        <f>SUM(B10:M10)-N10</f>
        <v>0</v>
      </c>
    </row>
  </sheetData>
  <phoneticPr fontId="22" type="noConversion"/>
  <pageMargins left="0.25" right="0.25" top="0.75" bottom="0.75" header="0.3" footer="0.3"/>
  <pageSetup paperSize="9" firstPageNumber="4294967295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79998168889431442"/>
    <pageSetUpPr fitToPage="1"/>
  </sheetPr>
  <dimension ref="A1:P8"/>
  <sheetViews>
    <sheetView workbookViewId="0">
      <selection activeCell="F4" sqref="F4"/>
    </sheetView>
  </sheetViews>
  <sheetFormatPr defaultRowHeight="15"/>
  <cols>
    <col min="1" max="1" width="36.5703125" bestFit="1" customWidth="1"/>
    <col min="3" max="3" width="7.140625" customWidth="1"/>
    <col min="4" max="4" width="7.85546875" customWidth="1"/>
    <col min="5" max="5" width="7.5703125" customWidth="1"/>
    <col min="6" max="6" width="7.7109375" customWidth="1"/>
    <col min="16" max="16" width="10.42578125" bestFit="1" customWidth="1"/>
  </cols>
  <sheetData>
    <row r="1" spans="1:16">
      <c r="A1" s="249" t="s">
        <v>38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>
        <v>20697.669999999998</v>
      </c>
      <c r="J1" s="256"/>
      <c r="K1" s="256"/>
      <c r="L1" s="256"/>
      <c r="M1" s="256"/>
      <c r="N1" s="250"/>
    </row>
    <row r="2" spans="1:16">
      <c r="A2" s="250"/>
      <c r="B2" s="271" t="s">
        <v>4</v>
      </c>
      <c r="C2" s="271" t="s">
        <v>5</v>
      </c>
      <c r="D2" s="271" t="s">
        <v>6</v>
      </c>
      <c r="E2" s="272" t="s">
        <v>7</v>
      </c>
      <c r="F2" s="271" t="s">
        <v>8</v>
      </c>
      <c r="G2" s="272" t="s">
        <v>9</v>
      </c>
      <c r="H2" s="271" t="s">
        <v>14</v>
      </c>
      <c r="I2" s="272" t="s">
        <v>15</v>
      </c>
      <c r="J2" s="271" t="s">
        <v>16</v>
      </c>
      <c r="K2" s="271" t="s">
        <v>17</v>
      </c>
      <c r="L2" s="271" t="s">
        <v>18</v>
      </c>
      <c r="M2" s="271" t="s">
        <v>19</v>
      </c>
      <c r="N2" s="271"/>
      <c r="P2" s="97"/>
    </row>
    <row r="3" spans="1:16">
      <c r="A3" s="245"/>
      <c r="B3" s="245"/>
      <c r="C3" s="245">
        <f>24683.86</f>
        <v>24683.86</v>
      </c>
      <c r="D3" s="245">
        <v>24683.86</v>
      </c>
      <c r="E3" s="245">
        <v>24683.86</v>
      </c>
      <c r="F3" s="245">
        <v>24683.86</v>
      </c>
      <c r="G3" s="245"/>
      <c r="H3" s="245"/>
      <c r="I3" s="245"/>
      <c r="J3" s="245"/>
      <c r="K3" s="245"/>
      <c r="L3" s="245"/>
      <c r="M3" s="245"/>
      <c r="N3" s="245">
        <f>SUM(B3:M3)</f>
        <v>98735.44</v>
      </c>
      <c r="P3" s="97"/>
    </row>
    <row r="4" spans="1:16">
      <c r="A4" s="245"/>
      <c r="B4" s="229"/>
      <c r="C4" s="245">
        <f>24683.86</f>
        <v>24683.86</v>
      </c>
      <c r="D4" s="245"/>
      <c r="E4" s="229"/>
      <c r="F4" s="245"/>
      <c r="G4" s="245"/>
      <c r="H4" s="229"/>
      <c r="I4" s="245"/>
      <c r="J4" s="245"/>
      <c r="K4" s="245"/>
      <c r="L4" s="245"/>
      <c r="M4" s="245"/>
      <c r="N4" s="245">
        <f>SUM(B4:M4)</f>
        <v>24683.86</v>
      </c>
    </row>
    <row r="5" spans="1:16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>
        <f>SUM(B5:M5)</f>
        <v>0</v>
      </c>
    </row>
    <row r="6" spans="1:16">
      <c r="A6" s="249" t="s">
        <v>104</v>
      </c>
      <c r="B6" s="247">
        <f>SUM(B3:B5)</f>
        <v>0</v>
      </c>
      <c r="C6" s="247">
        <f t="shared" ref="C6:N6" si="0">SUM(C3:C5)</f>
        <v>49367.72</v>
      </c>
      <c r="D6" s="247">
        <f t="shared" si="0"/>
        <v>24683.86</v>
      </c>
      <c r="E6" s="247">
        <f t="shared" si="0"/>
        <v>24683.86</v>
      </c>
      <c r="F6" s="247">
        <f t="shared" si="0"/>
        <v>24683.86</v>
      </c>
      <c r="G6" s="247">
        <f t="shared" si="0"/>
        <v>0</v>
      </c>
      <c r="H6" s="247">
        <f t="shared" si="0"/>
        <v>0</v>
      </c>
      <c r="I6" s="247">
        <f t="shared" si="0"/>
        <v>0</v>
      </c>
      <c r="J6" s="247">
        <f t="shared" si="0"/>
        <v>0</v>
      </c>
      <c r="K6" s="247">
        <f t="shared" si="0"/>
        <v>0</v>
      </c>
      <c r="L6" s="247">
        <f t="shared" si="0"/>
        <v>0</v>
      </c>
      <c r="M6" s="247">
        <f t="shared" si="0"/>
        <v>0</v>
      </c>
      <c r="N6" s="247">
        <f t="shared" si="0"/>
        <v>123419.3</v>
      </c>
    </row>
    <row r="8" spans="1:16">
      <c r="N8" s="255">
        <f>SUM(B6:M6)-N6</f>
        <v>0</v>
      </c>
    </row>
  </sheetData>
  <phoneticPr fontId="22" type="noConversion"/>
  <pageMargins left="0.25" right="0.25" top="0.75" bottom="0.75" header="0.3" footer="0.3"/>
  <pageSetup paperSize="9" scale="95" firstPageNumber="4294967295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N33"/>
  <sheetViews>
    <sheetView workbookViewId="0">
      <selection activeCell="J13" sqref="J13"/>
    </sheetView>
  </sheetViews>
  <sheetFormatPr defaultRowHeight="15"/>
  <cols>
    <col min="1" max="1" width="35.140625" bestFit="1" customWidth="1"/>
    <col min="2" max="2" width="11.28515625" style="1" customWidth="1"/>
    <col min="3" max="3" width="11.140625" customWidth="1"/>
    <col min="4" max="4" width="9" customWidth="1"/>
    <col min="5" max="5" width="9.140625" style="1"/>
    <col min="6" max="6" width="9.7109375" customWidth="1"/>
  </cols>
  <sheetData>
    <row r="1" spans="1:14">
      <c r="A1" s="249" t="s">
        <v>39</v>
      </c>
      <c r="B1" s="215"/>
      <c r="C1" s="256"/>
      <c r="D1" s="256"/>
      <c r="E1" s="215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45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73" t="s">
        <v>182</v>
      </c>
      <c r="B3" s="219"/>
      <c r="C3" s="219">
        <v>25627</v>
      </c>
      <c r="D3" s="219"/>
      <c r="E3" s="221"/>
      <c r="F3" s="219">
        <v>30329</v>
      </c>
      <c r="G3" s="221"/>
      <c r="H3" s="219"/>
      <c r="I3" s="221">
        <v>15075</v>
      </c>
      <c r="J3" s="219"/>
      <c r="K3" s="219"/>
      <c r="L3" s="219"/>
      <c r="M3" s="219"/>
      <c r="N3" s="245">
        <f t="shared" ref="N3:N30" si="0">SUM(B3:M3)</f>
        <v>71031</v>
      </c>
    </row>
    <row r="4" spans="1:14">
      <c r="A4" s="245" t="s">
        <v>202</v>
      </c>
      <c r="B4" s="219"/>
      <c r="C4" s="219"/>
      <c r="D4" s="219">
        <v>7908</v>
      </c>
      <c r="E4" s="221"/>
      <c r="F4" s="219"/>
      <c r="G4" s="221"/>
      <c r="H4" s="219"/>
      <c r="I4" s="221"/>
      <c r="J4" s="219"/>
      <c r="K4" s="219"/>
      <c r="L4" s="219"/>
      <c r="M4" s="219"/>
      <c r="N4" s="245">
        <f t="shared" si="0"/>
        <v>7908</v>
      </c>
    </row>
    <row r="5" spans="1:14">
      <c r="A5" s="274" t="s">
        <v>206</v>
      </c>
      <c r="B5" s="219"/>
      <c r="C5" s="219"/>
      <c r="D5" s="245">
        <v>19160</v>
      </c>
      <c r="E5" s="229"/>
      <c r="F5" s="245"/>
      <c r="G5" s="245"/>
      <c r="H5" s="245"/>
      <c r="I5" s="245"/>
      <c r="J5" s="245"/>
      <c r="K5" s="245"/>
      <c r="L5" s="245"/>
      <c r="M5" s="245"/>
      <c r="N5" s="245">
        <f t="shared" si="0"/>
        <v>19160</v>
      </c>
    </row>
    <row r="6" spans="1:14">
      <c r="A6" s="313" t="s">
        <v>250</v>
      </c>
      <c r="B6" s="219"/>
      <c r="C6" s="219"/>
      <c r="D6" s="245"/>
      <c r="E6" s="229">
        <v>650</v>
      </c>
      <c r="F6" s="245"/>
      <c r="G6" s="245"/>
      <c r="H6" s="245"/>
      <c r="I6" s="245"/>
      <c r="J6" s="245"/>
      <c r="K6" s="245"/>
      <c r="L6" s="245"/>
      <c r="M6" s="245"/>
      <c r="N6" s="245">
        <f t="shared" si="0"/>
        <v>650</v>
      </c>
    </row>
    <row r="7" spans="1:14">
      <c r="A7" s="245" t="s">
        <v>251</v>
      </c>
      <c r="B7" s="245"/>
      <c r="C7" s="219"/>
      <c r="D7" s="245"/>
      <c r="E7" s="229">
        <v>570</v>
      </c>
      <c r="F7" s="245"/>
      <c r="G7" s="245"/>
      <c r="H7" s="245"/>
      <c r="I7" s="245"/>
      <c r="J7" s="245"/>
      <c r="K7" s="245"/>
      <c r="L7" s="245"/>
      <c r="M7" s="245"/>
      <c r="N7" s="245">
        <f t="shared" si="0"/>
        <v>570</v>
      </c>
    </row>
    <row r="8" spans="1:14">
      <c r="A8" s="276" t="s">
        <v>252</v>
      </c>
      <c r="B8" s="219"/>
      <c r="C8" s="219"/>
      <c r="D8" s="245"/>
      <c r="E8" s="229">
        <v>627</v>
      </c>
      <c r="F8" s="245"/>
      <c r="G8" s="245"/>
      <c r="H8" s="245"/>
      <c r="I8" s="245"/>
      <c r="J8" s="245"/>
      <c r="K8" s="245"/>
      <c r="L8" s="245"/>
      <c r="M8" s="245"/>
      <c r="N8" s="245">
        <f t="shared" si="0"/>
        <v>627</v>
      </c>
    </row>
    <row r="9" spans="1:14">
      <c r="A9" s="273" t="s">
        <v>256</v>
      </c>
      <c r="B9" s="219"/>
      <c r="C9" s="219"/>
      <c r="D9" s="245"/>
      <c r="E9" s="229">
        <v>22700</v>
      </c>
      <c r="F9" s="245"/>
      <c r="G9" s="245"/>
      <c r="H9" s="245"/>
      <c r="I9" s="245"/>
      <c r="J9" s="245"/>
      <c r="K9" s="245"/>
      <c r="L9" s="245"/>
      <c r="M9" s="245"/>
      <c r="N9" s="245">
        <f t="shared" si="0"/>
        <v>22700</v>
      </c>
    </row>
    <row r="10" spans="1:14">
      <c r="A10" s="273" t="s">
        <v>296</v>
      </c>
      <c r="B10" s="219"/>
      <c r="C10" s="219"/>
      <c r="D10" s="245"/>
      <c r="E10" s="229"/>
      <c r="F10" s="245"/>
      <c r="G10" s="245">
        <v>1585</v>
      </c>
      <c r="H10" s="245"/>
      <c r="I10" s="245"/>
      <c r="J10" s="245"/>
      <c r="K10" s="245"/>
      <c r="L10" s="245"/>
      <c r="M10" s="245"/>
      <c r="N10" s="245">
        <f t="shared" si="0"/>
        <v>1585</v>
      </c>
    </row>
    <row r="11" spans="1:14">
      <c r="A11" s="273" t="s">
        <v>312</v>
      </c>
      <c r="B11" s="229"/>
      <c r="C11" s="229"/>
      <c r="D11" s="245"/>
      <c r="E11" s="229"/>
      <c r="F11" s="229"/>
      <c r="G11" s="245"/>
      <c r="H11" s="245">
        <v>641</v>
      </c>
      <c r="I11" s="245"/>
      <c r="J11" s="245"/>
      <c r="K11" s="245"/>
      <c r="L11" s="245"/>
      <c r="M11" s="245"/>
      <c r="N11" s="245">
        <f t="shared" si="0"/>
        <v>641</v>
      </c>
    </row>
    <row r="12" spans="1:14">
      <c r="A12" s="256" t="s">
        <v>333</v>
      </c>
      <c r="B12" s="245"/>
      <c r="C12" s="245"/>
      <c r="D12" s="243"/>
      <c r="E12" s="244"/>
      <c r="F12" s="245"/>
      <c r="G12" s="245"/>
      <c r="H12" s="245"/>
      <c r="I12" s="245">
        <v>350</v>
      </c>
      <c r="J12" s="245"/>
      <c r="K12" s="245"/>
      <c r="L12" s="245"/>
      <c r="M12" s="245"/>
      <c r="N12" s="245">
        <f t="shared" si="0"/>
        <v>350</v>
      </c>
    </row>
    <row r="13" spans="1:14">
      <c r="A13" s="256"/>
      <c r="B13" s="243"/>
      <c r="C13" s="243"/>
      <c r="D13" s="243"/>
      <c r="E13" s="244"/>
      <c r="F13" s="245"/>
      <c r="G13" s="245"/>
      <c r="H13" s="245"/>
      <c r="I13" s="245"/>
      <c r="J13" s="245"/>
      <c r="K13" s="245"/>
      <c r="L13" s="245"/>
      <c r="M13" s="245"/>
      <c r="N13" s="245">
        <f t="shared" si="0"/>
        <v>0</v>
      </c>
    </row>
    <row r="14" spans="1:14">
      <c r="A14" s="262"/>
      <c r="B14" s="245"/>
      <c r="C14" s="245"/>
      <c r="D14" s="245"/>
      <c r="E14" s="246"/>
      <c r="F14" s="245"/>
      <c r="G14" s="245"/>
      <c r="H14" s="245"/>
      <c r="I14" s="245"/>
      <c r="J14" s="245"/>
      <c r="K14" s="245"/>
      <c r="L14" s="245"/>
      <c r="M14" s="245"/>
      <c r="N14" s="245">
        <f t="shared" si="0"/>
        <v>0</v>
      </c>
    </row>
    <row r="15" spans="1:14">
      <c r="A15" s="245"/>
      <c r="B15" s="229"/>
      <c r="C15" s="245"/>
      <c r="D15" s="245"/>
      <c r="E15" s="229"/>
      <c r="F15" s="245"/>
      <c r="G15" s="245"/>
      <c r="H15" s="245"/>
      <c r="I15" s="245"/>
      <c r="J15" s="245"/>
      <c r="K15" s="245"/>
      <c r="L15" s="245"/>
      <c r="M15" s="245"/>
      <c r="N15" s="245">
        <f t="shared" si="0"/>
        <v>0</v>
      </c>
    </row>
    <row r="16" spans="1:14">
      <c r="A16" s="245"/>
      <c r="B16" s="229"/>
      <c r="C16" s="245"/>
      <c r="D16" s="245"/>
      <c r="E16" s="229"/>
      <c r="F16" s="245"/>
      <c r="G16" s="245"/>
      <c r="H16" s="245"/>
      <c r="I16" s="245"/>
      <c r="J16" s="245"/>
      <c r="K16" s="245"/>
      <c r="L16" s="245"/>
      <c r="M16" s="245"/>
      <c r="N16" s="245">
        <f t="shared" si="0"/>
        <v>0</v>
      </c>
    </row>
    <row r="17" spans="1:14">
      <c r="A17" s="245"/>
      <c r="B17" s="229"/>
      <c r="C17" s="245"/>
      <c r="D17" s="245"/>
      <c r="E17" s="229"/>
      <c r="F17" s="245"/>
      <c r="G17" s="245"/>
      <c r="H17" s="245"/>
      <c r="I17" s="245"/>
      <c r="J17" s="245"/>
      <c r="K17" s="245"/>
      <c r="L17" s="245"/>
      <c r="M17" s="245"/>
      <c r="N17" s="245">
        <f t="shared" si="0"/>
        <v>0</v>
      </c>
    </row>
    <row r="18" spans="1:14">
      <c r="A18" s="245"/>
      <c r="B18" s="229"/>
      <c r="C18" s="245"/>
      <c r="D18" s="245"/>
      <c r="E18" s="229"/>
      <c r="F18" s="245"/>
      <c r="G18" s="245"/>
      <c r="H18" s="245"/>
      <c r="I18" s="245"/>
      <c r="J18" s="245"/>
      <c r="K18" s="245"/>
      <c r="L18" s="245"/>
      <c r="M18" s="245"/>
      <c r="N18" s="245">
        <f t="shared" si="0"/>
        <v>0</v>
      </c>
    </row>
    <row r="19" spans="1:14">
      <c r="A19" s="245"/>
      <c r="B19" s="229"/>
      <c r="C19" s="245"/>
      <c r="D19" s="245"/>
      <c r="E19" s="229"/>
      <c r="F19" s="245"/>
      <c r="G19" s="245"/>
      <c r="H19" s="245"/>
      <c r="I19" s="245"/>
      <c r="J19" s="245"/>
      <c r="K19" s="245"/>
      <c r="L19" s="245"/>
      <c r="M19" s="245"/>
      <c r="N19" s="245">
        <f t="shared" si="0"/>
        <v>0</v>
      </c>
    </row>
    <row r="20" spans="1:14">
      <c r="A20" s="245"/>
      <c r="B20" s="229"/>
      <c r="C20" s="245"/>
      <c r="D20" s="245"/>
      <c r="E20" s="229"/>
      <c r="F20" s="245"/>
      <c r="G20" s="245"/>
      <c r="H20" s="245"/>
      <c r="I20" s="245"/>
      <c r="J20" s="245"/>
      <c r="K20" s="245"/>
      <c r="L20" s="245"/>
      <c r="M20" s="245"/>
      <c r="N20" s="245">
        <f t="shared" si="0"/>
        <v>0</v>
      </c>
    </row>
    <row r="21" spans="1:14">
      <c r="A21" s="245"/>
      <c r="B21" s="229"/>
      <c r="C21" s="245"/>
      <c r="D21" s="245"/>
      <c r="E21" s="229"/>
      <c r="F21" s="245"/>
      <c r="G21" s="245"/>
      <c r="H21" s="245"/>
      <c r="I21" s="245"/>
      <c r="J21" s="245"/>
      <c r="K21" s="245"/>
      <c r="L21" s="245"/>
      <c r="M21" s="245"/>
      <c r="N21" s="245">
        <f t="shared" si="0"/>
        <v>0</v>
      </c>
    </row>
    <row r="22" spans="1:14">
      <c r="A22" s="245"/>
      <c r="B22" s="229"/>
      <c r="C22" s="245"/>
      <c r="D22" s="245"/>
      <c r="E22" s="229"/>
      <c r="F22" s="245"/>
      <c r="G22" s="245"/>
      <c r="H22" s="245"/>
      <c r="I22" s="245"/>
      <c r="J22" s="245"/>
      <c r="K22" s="245"/>
      <c r="L22" s="245"/>
      <c r="M22" s="245"/>
      <c r="N22" s="245">
        <f t="shared" si="0"/>
        <v>0</v>
      </c>
    </row>
    <row r="23" spans="1:14">
      <c r="A23" s="245"/>
      <c r="B23" s="229"/>
      <c r="C23" s="245"/>
      <c r="D23" s="245"/>
      <c r="E23" s="229"/>
      <c r="F23" s="245"/>
      <c r="G23" s="245"/>
      <c r="H23" s="245"/>
      <c r="I23" s="245"/>
      <c r="J23" s="245"/>
      <c r="K23" s="245"/>
      <c r="L23" s="245"/>
      <c r="M23" s="245"/>
      <c r="N23" s="245">
        <f t="shared" si="0"/>
        <v>0</v>
      </c>
    </row>
    <row r="24" spans="1:14">
      <c r="A24" s="245"/>
      <c r="B24" s="229"/>
      <c r="C24" s="245"/>
      <c r="D24" s="245"/>
      <c r="E24" s="229"/>
      <c r="F24" s="245"/>
      <c r="G24" s="245"/>
      <c r="H24" s="245"/>
      <c r="I24" s="245"/>
      <c r="J24" s="245"/>
      <c r="K24" s="245"/>
      <c r="L24" s="245"/>
      <c r="M24" s="245"/>
      <c r="N24" s="245">
        <f t="shared" si="0"/>
        <v>0</v>
      </c>
    </row>
    <row r="25" spans="1:14">
      <c r="A25" s="245"/>
      <c r="B25" s="229"/>
      <c r="C25" s="245"/>
      <c r="D25" s="245"/>
      <c r="E25" s="229"/>
      <c r="F25" s="245"/>
      <c r="G25" s="245"/>
      <c r="H25" s="245"/>
      <c r="I25" s="245"/>
      <c r="J25" s="245"/>
      <c r="K25" s="245"/>
      <c r="L25" s="245"/>
      <c r="M25" s="245"/>
      <c r="N25" s="245">
        <f t="shared" si="0"/>
        <v>0</v>
      </c>
    </row>
    <row r="26" spans="1:14">
      <c r="A26" s="277"/>
      <c r="B26" s="245"/>
      <c r="C26" s="229"/>
      <c r="D26" s="245"/>
      <c r="E26" s="245"/>
      <c r="F26" s="229"/>
      <c r="G26" s="229"/>
      <c r="H26" s="245"/>
      <c r="I26" s="245"/>
      <c r="J26" s="245"/>
      <c r="K26" s="245"/>
      <c r="L26" s="245"/>
      <c r="M26" s="245"/>
      <c r="N26" s="245">
        <f t="shared" si="0"/>
        <v>0</v>
      </c>
    </row>
    <row r="27" spans="1:14">
      <c r="A27" s="245"/>
      <c r="B27" s="229"/>
      <c r="C27" s="245"/>
      <c r="D27" s="245"/>
      <c r="E27" s="229"/>
      <c r="F27" s="245"/>
      <c r="G27" s="245"/>
      <c r="H27" s="245"/>
      <c r="I27" s="245"/>
      <c r="J27" s="245"/>
      <c r="K27" s="245"/>
      <c r="L27" s="245"/>
      <c r="M27" s="245"/>
      <c r="N27" s="245">
        <f t="shared" si="0"/>
        <v>0</v>
      </c>
    </row>
    <row r="28" spans="1:14">
      <c r="A28" s="245"/>
      <c r="B28" s="229"/>
      <c r="C28" s="245"/>
      <c r="D28" s="245"/>
      <c r="E28" s="229"/>
      <c r="F28" s="245"/>
      <c r="G28" s="245"/>
      <c r="H28" s="245"/>
      <c r="I28" s="245"/>
      <c r="J28" s="245"/>
      <c r="K28" s="245"/>
      <c r="L28" s="245"/>
      <c r="M28" s="245"/>
      <c r="N28" s="245">
        <f t="shared" si="0"/>
        <v>0</v>
      </c>
    </row>
    <row r="29" spans="1:14">
      <c r="A29" s="245"/>
      <c r="B29" s="229"/>
      <c r="C29" s="245"/>
      <c r="D29" s="245"/>
      <c r="E29" s="229"/>
      <c r="F29" s="245"/>
      <c r="G29" s="245"/>
      <c r="H29" s="245"/>
      <c r="I29" s="245"/>
      <c r="J29" s="245"/>
      <c r="K29" s="245"/>
      <c r="L29" s="245"/>
      <c r="M29" s="245"/>
      <c r="N29" s="245">
        <f t="shared" si="0"/>
        <v>0</v>
      </c>
    </row>
    <row r="30" spans="1:14">
      <c r="A30" s="245"/>
      <c r="B30" s="229"/>
      <c r="C30" s="245"/>
      <c r="D30" s="245"/>
      <c r="E30" s="229"/>
      <c r="F30" s="245"/>
      <c r="G30" s="245"/>
      <c r="H30" s="245"/>
      <c r="I30" s="245"/>
      <c r="J30" s="245"/>
      <c r="K30" s="245"/>
      <c r="L30" s="245"/>
      <c r="M30" s="245"/>
      <c r="N30" s="245">
        <f t="shared" si="0"/>
        <v>0</v>
      </c>
    </row>
    <row r="31" spans="1:14">
      <c r="A31" s="249" t="s">
        <v>104</v>
      </c>
      <c r="B31" s="247">
        <f t="shared" ref="B31:N31" si="1">SUM(B3:B30)</f>
        <v>0</v>
      </c>
      <c r="C31" s="247">
        <f t="shared" si="1"/>
        <v>25627</v>
      </c>
      <c r="D31" s="247">
        <f t="shared" si="1"/>
        <v>27068</v>
      </c>
      <c r="E31" s="247">
        <f t="shared" si="1"/>
        <v>24547</v>
      </c>
      <c r="F31" s="247">
        <f t="shared" si="1"/>
        <v>30329</v>
      </c>
      <c r="G31" s="247">
        <f t="shared" si="1"/>
        <v>1585</v>
      </c>
      <c r="H31" s="247">
        <f t="shared" si="1"/>
        <v>641</v>
      </c>
      <c r="I31" s="247">
        <f t="shared" si="1"/>
        <v>15425</v>
      </c>
      <c r="J31" s="247">
        <f t="shared" si="1"/>
        <v>0</v>
      </c>
      <c r="K31" s="247">
        <f t="shared" si="1"/>
        <v>0</v>
      </c>
      <c r="L31" s="247">
        <f t="shared" si="1"/>
        <v>0</v>
      </c>
      <c r="M31" s="247">
        <f t="shared" si="1"/>
        <v>0</v>
      </c>
      <c r="N31" s="247">
        <f t="shared" si="1"/>
        <v>125222</v>
      </c>
    </row>
    <row r="33" spans="14:14">
      <c r="N33" s="255">
        <f>SUM(B31:M31)-N31</f>
        <v>0</v>
      </c>
    </row>
  </sheetData>
  <phoneticPr fontId="22" type="noConversion"/>
  <pageMargins left="0.25" right="0.25" top="0.75" bottom="0.75" header="0.3" footer="0.3"/>
  <pageSetup paperSize="9" scale="89" firstPageNumber="4294967295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 tint="-0.499984740745262"/>
    <pageSetUpPr fitToPage="1"/>
  </sheetPr>
  <dimension ref="A1:N34"/>
  <sheetViews>
    <sheetView workbookViewId="0">
      <selection activeCell="L27" sqref="L27"/>
    </sheetView>
  </sheetViews>
  <sheetFormatPr defaultRowHeight="15"/>
  <cols>
    <col min="1" max="1" width="38.7109375" bestFit="1" customWidth="1"/>
    <col min="2" max="2" width="7.5703125" bestFit="1" customWidth="1"/>
    <col min="3" max="3" width="9" style="1" bestFit="1" customWidth="1"/>
    <col min="4" max="4" width="6.5703125" bestFit="1" customWidth="1"/>
    <col min="5" max="5" width="8.7109375" bestFit="1" customWidth="1"/>
    <col min="6" max="7" width="11.5703125" style="1" bestFit="1" customWidth="1"/>
    <col min="8" max="8" width="9" bestFit="1" customWidth="1"/>
    <col min="9" max="9" width="7" bestFit="1" customWidth="1"/>
    <col min="10" max="10" width="8.28515625" bestFit="1" customWidth="1"/>
    <col min="11" max="11" width="6.5703125" bestFit="1" customWidth="1"/>
    <col min="12" max="12" width="7.5703125" bestFit="1" customWidth="1"/>
    <col min="13" max="13" width="6.5703125" bestFit="1" customWidth="1"/>
    <col min="14" max="14" width="9" bestFit="1" customWidth="1"/>
  </cols>
  <sheetData>
    <row r="1" spans="1:14">
      <c r="A1" s="249" t="s">
        <v>144</v>
      </c>
      <c r="B1" s="256"/>
      <c r="C1" s="215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62" t="s">
        <v>145</v>
      </c>
      <c r="B3" s="245">
        <v>2000</v>
      </c>
      <c r="C3" s="229"/>
      <c r="D3" s="245"/>
      <c r="E3" s="245"/>
      <c r="F3" s="229"/>
      <c r="G3" s="229">
        <v>4500</v>
      </c>
      <c r="H3" s="245"/>
      <c r="I3" s="245"/>
      <c r="J3" s="245"/>
      <c r="K3" s="245"/>
      <c r="L3" s="245"/>
      <c r="M3" s="245"/>
      <c r="N3" s="245">
        <f t="shared" ref="N3:N18" si="0">SUM(B3:M3)</f>
        <v>6500</v>
      </c>
    </row>
    <row r="4" spans="1:14">
      <c r="A4" s="278" t="s">
        <v>146</v>
      </c>
      <c r="B4" s="193">
        <v>16300</v>
      </c>
      <c r="C4" s="242">
        <f>16300+16300</f>
        <v>32600</v>
      </c>
      <c r="D4" s="193">
        <f>16300+16300</f>
        <v>32600</v>
      </c>
      <c r="E4" s="279">
        <f>16300</f>
        <v>16300</v>
      </c>
      <c r="F4" s="242">
        <v>16300</v>
      </c>
      <c r="G4" s="242">
        <v>16300</v>
      </c>
      <c r="H4" s="193">
        <f>16300</f>
        <v>16300</v>
      </c>
      <c r="I4" s="193">
        <v>16300</v>
      </c>
      <c r="J4" s="193"/>
      <c r="K4" s="193">
        <v>16300</v>
      </c>
      <c r="L4" s="193"/>
      <c r="M4" s="245"/>
      <c r="N4" s="245">
        <f t="shared" si="0"/>
        <v>179300</v>
      </c>
    </row>
    <row r="5" spans="1:14">
      <c r="A5" s="278" t="s">
        <v>147</v>
      </c>
      <c r="B5" s="245">
        <v>400</v>
      </c>
      <c r="C5" s="229"/>
      <c r="D5" s="245"/>
      <c r="E5" s="245"/>
      <c r="F5" s="229"/>
      <c r="G5" s="229"/>
      <c r="H5" s="245"/>
      <c r="I5" s="245"/>
      <c r="J5" s="245"/>
      <c r="K5" s="245"/>
      <c r="L5" s="245"/>
      <c r="M5" s="245"/>
      <c r="N5" s="245">
        <f t="shared" si="0"/>
        <v>400</v>
      </c>
    </row>
    <row r="6" spans="1:14">
      <c r="A6" s="278" t="s">
        <v>176</v>
      </c>
      <c r="B6" s="245"/>
      <c r="C6" s="229">
        <v>11130</v>
      </c>
      <c r="D6" s="245"/>
      <c r="E6" s="245"/>
      <c r="F6" s="229"/>
      <c r="G6" s="229"/>
      <c r="H6" s="245">
        <v>6660</v>
      </c>
      <c r="I6" s="245"/>
      <c r="J6" s="245"/>
      <c r="K6" s="245">
        <v>12210</v>
      </c>
      <c r="L6" s="245"/>
      <c r="M6" s="245"/>
      <c r="N6" s="245">
        <f t="shared" si="0"/>
        <v>30000</v>
      </c>
    </row>
    <row r="7" spans="1:14">
      <c r="A7" s="262" t="s">
        <v>207</v>
      </c>
      <c r="B7" s="245"/>
      <c r="C7" s="229"/>
      <c r="D7" s="245">
        <v>8850</v>
      </c>
      <c r="E7" s="245"/>
      <c r="F7" s="229"/>
      <c r="G7" s="229"/>
      <c r="H7" s="245"/>
      <c r="I7" s="245"/>
      <c r="J7" s="245"/>
      <c r="K7" s="245"/>
      <c r="L7" s="245"/>
      <c r="M7" s="245"/>
      <c r="N7" s="245">
        <f>SUM(B7:M7)</f>
        <v>8850</v>
      </c>
    </row>
    <row r="8" spans="1:14">
      <c r="A8" s="262" t="s">
        <v>300</v>
      </c>
      <c r="B8" s="245"/>
      <c r="C8" s="229"/>
      <c r="D8" s="245"/>
      <c r="E8" s="245"/>
      <c r="F8" s="229"/>
      <c r="G8" s="229"/>
      <c r="H8" s="245">
        <v>8150</v>
      </c>
      <c r="I8" s="245"/>
      <c r="J8" s="245"/>
      <c r="K8" s="245"/>
      <c r="L8" s="245"/>
      <c r="M8" s="245"/>
      <c r="N8" s="245">
        <f t="shared" si="0"/>
        <v>8150</v>
      </c>
    </row>
    <row r="9" spans="1:14">
      <c r="A9" s="262" t="s">
        <v>301</v>
      </c>
      <c r="B9" s="245"/>
      <c r="C9" s="229"/>
      <c r="D9" s="245"/>
      <c r="E9" s="245"/>
      <c r="F9" s="229"/>
      <c r="G9" s="229"/>
      <c r="H9" s="245">
        <v>8150</v>
      </c>
      <c r="I9" s="245"/>
      <c r="J9" s="245"/>
      <c r="K9" s="245"/>
      <c r="L9" s="245"/>
      <c r="M9" s="245"/>
      <c r="N9" s="245">
        <f>SUM(B9:M9)</f>
        <v>8150</v>
      </c>
    </row>
    <row r="10" spans="1:14">
      <c r="A10" s="262" t="s">
        <v>363</v>
      </c>
      <c r="B10" s="245"/>
      <c r="C10" s="229"/>
      <c r="D10" s="245"/>
      <c r="E10" s="245"/>
      <c r="F10" s="229"/>
      <c r="G10" s="229"/>
      <c r="H10" s="245"/>
      <c r="I10" s="245"/>
      <c r="J10" s="245"/>
      <c r="K10" s="245">
        <v>3700</v>
      </c>
      <c r="L10" s="245"/>
      <c r="M10" s="245"/>
      <c r="N10" s="245">
        <f>SUM(B10:M10)</f>
        <v>3700</v>
      </c>
    </row>
    <row r="11" spans="1:14">
      <c r="A11" s="262" t="s">
        <v>364</v>
      </c>
      <c r="B11" s="245"/>
      <c r="C11" s="229"/>
      <c r="D11" s="245"/>
      <c r="E11" s="245"/>
      <c r="F11" s="229"/>
      <c r="G11" s="229"/>
      <c r="H11" s="245"/>
      <c r="I11" s="245"/>
      <c r="J11" s="245"/>
      <c r="K11" s="245">
        <v>50000</v>
      </c>
      <c r="L11" s="245"/>
      <c r="M11" s="245"/>
      <c r="N11" s="245">
        <f>SUM(B11:M11)</f>
        <v>50000</v>
      </c>
    </row>
    <row r="12" spans="1:14">
      <c r="A12" s="262" t="s">
        <v>217</v>
      </c>
      <c r="B12" s="245"/>
      <c r="C12" s="229"/>
      <c r="D12" s="245">
        <v>325</v>
      </c>
      <c r="E12" s="245"/>
      <c r="F12" s="229"/>
      <c r="G12" s="229"/>
      <c r="H12" s="245"/>
      <c r="I12" s="245"/>
      <c r="J12" s="245"/>
      <c r="K12" s="245"/>
      <c r="L12" s="245"/>
      <c r="M12" s="245"/>
      <c r="N12" s="245">
        <f>SUM(B12:M12)</f>
        <v>325</v>
      </c>
    </row>
    <row r="13" spans="1:14">
      <c r="A13" s="262" t="s">
        <v>224</v>
      </c>
      <c r="B13" s="245"/>
      <c r="C13" s="229"/>
      <c r="D13" s="245">
        <f>4725+4725</f>
        <v>9450</v>
      </c>
      <c r="E13" s="245"/>
      <c r="F13" s="245"/>
      <c r="G13" s="245"/>
      <c r="H13" s="245"/>
      <c r="I13" s="245"/>
      <c r="J13" s="245"/>
      <c r="K13" s="245"/>
      <c r="L13" s="245"/>
      <c r="M13" s="245"/>
      <c r="N13" s="245">
        <f t="shared" si="0"/>
        <v>9450</v>
      </c>
    </row>
    <row r="14" spans="1:14">
      <c r="A14" s="262" t="s">
        <v>236</v>
      </c>
      <c r="B14" s="245"/>
      <c r="C14" s="229"/>
      <c r="D14" s="245"/>
      <c r="E14" s="245">
        <v>16247</v>
      </c>
      <c r="F14" s="229"/>
      <c r="G14" s="229"/>
      <c r="H14" s="245"/>
      <c r="I14" s="245"/>
      <c r="J14" s="245"/>
      <c r="K14" s="245"/>
      <c r="L14" s="245"/>
      <c r="M14" s="245"/>
      <c r="N14" s="245">
        <f t="shared" si="0"/>
        <v>16247</v>
      </c>
    </row>
    <row r="15" spans="1:14">
      <c r="A15" s="262" t="s">
        <v>246</v>
      </c>
      <c r="B15" s="245"/>
      <c r="C15" s="229"/>
      <c r="D15" s="245"/>
      <c r="E15" s="245">
        <v>150</v>
      </c>
      <c r="F15" s="229"/>
      <c r="G15" s="229"/>
      <c r="H15" s="245"/>
      <c r="I15" s="245"/>
      <c r="J15" s="245"/>
      <c r="K15" s="245"/>
      <c r="L15" s="245"/>
      <c r="M15" s="245"/>
      <c r="N15" s="245">
        <f t="shared" si="0"/>
        <v>150</v>
      </c>
    </row>
    <row r="16" spans="1:14">
      <c r="A16" s="262" t="s">
        <v>247</v>
      </c>
      <c r="B16" s="245"/>
      <c r="C16" s="229"/>
      <c r="D16" s="245"/>
      <c r="E16" s="245">
        <v>550</v>
      </c>
      <c r="F16" s="229"/>
      <c r="G16" s="229"/>
      <c r="H16" s="245"/>
      <c r="I16" s="245"/>
      <c r="J16" s="245"/>
      <c r="K16" s="245"/>
      <c r="L16" s="245"/>
      <c r="M16" s="245"/>
      <c r="N16" s="245">
        <f t="shared" si="0"/>
        <v>550</v>
      </c>
    </row>
    <row r="17" spans="1:14">
      <c r="A17" s="262" t="s">
        <v>248</v>
      </c>
      <c r="B17" s="245"/>
      <c r="C17" s="229"/>
      <c r="D17" s="245"/>
      <c r="E17" s="245">
        <v>100</v>
      </c>
      <c r="F17" s="229"/>
      <c r="G17" s="229"/>
      <c r="H17" s="245"/>
      <c r="I17" s="245"/>
      <c r="J17" s="245"/>
      <c r="K17" s="245"/>
      <c r="L17" s="245"/>
      <c r="M17" s="245"/>
      <c r="N17" s="245">
        <f t="shared" si="0"/>
        <v>100</v>
      </c>
    </row>
    <row r="18" spans="1:14">
      <c r="A18" s="273" t="s">
        <v>159</v>
      </c>
      <c r="B18" s="229"/>
      <c r="C18" s="245"/>
      <c r="D18" s="245"/>
      <c r="E18" s="245">
        <v>50</v>
      </c>
      <c r="F18" s="245"/>
      <c r="G18" s="245"/>
      <c r="H18" s="245"/>
      <c r="I18" s="245"/>
      <c r="J18" s="245"/>
      <c r="K18" s="245"/>
      <c r="L18" s="245"/>
      <c r="M18" s="245"/>
      <c r="N18" s="245">
        <f t="shared" si="0"/>
        <v>50</v>
      </c>
    </row>
    <row r="19" spans="1:14">
      <c r="A19" s="262" t="s">
        <v>249</v>
      </c>
      <c r="B19" s="245"/>
      <c r="C19" s="229"/>
      <c r="D19" s="245"/>
      <c r="E19" s="245">
        <v>140</v>
      </c>
      <c r="F19" s="229"/>
      <c r="G19" s="229"/>
      <c r="H19" s="245"/>
      <c r="I19" s="245"/>
      <c r="J19" s="245"/>
      <c r="K19" s="245"/>
      <c r="L19" s="245"/>
      <c r="M19" s="245"/>
      <c r="N19" s="245">
        <f t="shared" ref="N19:N31" si="1">SUM(B19:M19)</f>
        <v>140</v>
      </c>
    </row>
    <row r="20" spans="1:14">
      <c r="A20" s="262" t="s">
        <v>247</v>
      </c>
      <c r="B20" s="245"/>
      <c r="C20" s="229"/>
      <c r="D20" s="245"/>
      <c r="E20" s="245">
        <v>150</v>
      </c>
      <c r="F20" s="229"/>
      <c r="G20" s="229"/>
      <c r="H20" s="245"/>
      <c r="I20" s="245"/>
      <c r="J20" s="245"/>
      <c r="K20" s="245"/>
      <c r="L20" s="245"/>
      <c r="M20" s="245"/>
      <c r="N20" s="245">
        <f t="shared" si="1"/>
        <v>150</v>
      </c>
    </row>
    <row r="21" spans="1:14">
      <c r="A21" s="262" t="s">
        <v>277</v>
      </c>
      <c r="B21" s="245"/>
      <c r="C21" s="229"/>
      <c r="D21" s="245"/>
      <c r="E21" s="245"/>
      <c r="F21" s="229"/>
      <c r="G21" s="229">
        <v>29366.400000000001</v>
      </c>
      <c r="H21" s="245"/>
      <c r="I21" s="245"/>
      <c r="J21" s="245"/>
      <c r="K21" s="245"/>
      <c r="L21" s="245"/>
      <c r="M21" s="245"/>
      <c r="N21" s="245">
        <f t="shared" si="1"/>
        <v>29366.400000000001</v>
      </c>
    </row>
    <row r="22" spans="1:14">
      <c r="A22" s="262" t="s">
        <v>319</v>
      </c>
      <c r="B22" s="245"/>
      <c r="C22" s="229"/>
      <c r="D22" s="245"/>
      <c r="E22" s="245"/>
      <c r="F22" s="229"/>
      <c r="G22" s="229"/>
      <c r="H22" s="245"/>
      <c r="I22" s="245">
        <f>11130+4470</f>
        <v>15600</v>
      </c>
      <c r="J22" s="245"/>
      <c r="K22" s="245"/>
      <c r="L22" s="245"/>
      <c r="M22" s="245"/>
      <c r="N22" s="245">
        <f t="shared" si="1"/>
        <v>15600</v>
      </c>
    </row>
    <row r="23" spans="1:14">
      <c r="A23" s="262" t="s">
        <v>320</v>
      </c>
      <c r="B23" s="245"/>
      <c r="C23" s="229"/>
      <c r="D23" s="245"/>
      <c r="E23" s="245"/>
      <c r="F23" s="229"/>
      <c r="G23" s="229"/>
      <c r="H23" s="245"/>
      <c r="I23" s="245">
        <v>6930</v>
      </c>
      <c r="J23" s="245"/>
      <c r="K23" s="245"/>
      <c r="L23" s="245"/>
      <c r="M23" s="245"/>
      <c r="N23" s="245">
        <f t="shared" si="1"/>
        <v>6930</v>
      </c>
    </row>
    <row r="24" spans="1:14">
      <c r="A24" s="262" t="s">
        <v>331</v>
      </c>
      <c r="B24" s="245"/>
      <c r="C24" s="229"/>
      <c r="D24" s="245"/>
      <c r="E24" s="245"/>
      <c r="F24" s="229"/>
      <c r="G24" s="229"/>
      <c r="H24" s="245"/>
      <c r="I24" s="245">
        <v>900</v>
      </c>
      <c r="J24" s="245"/>
      <c r="K24" s="245"/>
      <c r="L24" s="245"/>
      <c r="M24" s="245"/>
      <c r="N24" s="245">
        <f t="shared" si="1"/>
        <v>900</v>
      </c>
    </row>
    <row r="25" spans="1:14">
      <c r="A25" s="262" t="s">
        <v>332</v>
      </c>
      <c r="B25" s="245"/>
      <c r="C25" s="229"/>
      <c r="D25" s="245"/>
      <c r="E25" s="245"/>
      <c r="F25" s="229"/>
      <c r="G25" s="229"/>
      <c r="H25" s="245"/>
      <c r="I25" s="245">
        <v>2756</v>
      </c>
      <c r="J25" s="245"/>
      <c r="K25" s="245"/>
      <c r="L25" s="245"/>
      <c r="M25" s="245"/>
      <c r="N25" s="245">
        <f t="shared" si="1"/>
        <v>2756</v>
      </c>
    </row>
    <row r="26" spans="1:14">
      <c r="A26" s="262" t="s">
        <v>369</v>
      </c>
      <c r="B26" s="245"/>
      <c r="C26" s="229"/>
      <c r="D26" s="245"/>
      <c r="E26" s="245"/>
      <c r="F26" s="229"/>
      <c r="G26" s="229"/>
      <c r="H26" s="245"/>
      <c r="I26" s="245"/>
      <c r="J26" s="245"/>
      <c r="K26" s="245">
        <v>960</v>
      </c>
      <c r="L26" s="245"/>
      <c r="M26" s="245"/>
      <c r="N26" s="245">
        <f t="shared" si="1"/>
        <v>960</v>
      </c>
    </row>
    <row r="27" spans="1:14">
      <c r="A27" s="262"/>
      <c r="B27" s="245"/>
      <c r="C27" s="229"/>
      <c r="D27" s="245"/>
      <c r="E27" s="245"/>
      <c r="F27" s="229"/>
      <c r="G27" s="229"/>
      <c r="H27" s="245"/>
      <c r="I27" s="245"/>
      <c r="J27" s="245"/>
      <c r="K27" s="245"/>
      <c r="L27" s="245"/>
      <c r="M27" s="245"/>
      <c r="N27" s="245">
        <f t="shared" si="1"/>
        <v>0</v>
      </c>
    </row>
    <row r="28" spans="1:14">
      <c r="A28" s="262"/>
      <c r="B28" s="245"/>
      <c r="C28" s="229"/>
      <c r="D28" s="245"/>
      <c r="E28" s="245"/>
      <c r="F28" s="229"/>
      <c r="G28" s="229"/>
      <c r="H28" s="245"/>
      <c r="I28" s="245"/>
      <c r="J28" s="245"/>
      <c r="K28" s="245"/>
      <c r="L28" s="245"/>
      <c r="M28" s="245"/>
      <c r="N28" s="245">
        <f t="shared" si="1"/>
        <v>0</v>
      </c>
    </row>
    <row r="29" spans="1:14">
      <c r="A29" s="262"/>
      <c r="B29" s="245"/>
      <c r="C29" s="229"/>
      <c r="D29" s="245"/>
      <c r="E29" s="245"/>
      <c r="F29" s="229"/>
      <c r="G29" s="229"/>
      <c r="H29" s="245"/>
      <c r="I29" s="245"/>
      <c r="J29" s="245"/>
      <c r="K29" s="245"/>
      <c r="L29" s="245"/>
      <c r="M29" s="245"/>
      <c r="N29" s="245">
        <f t="shared" si="1"/>
        <v>0</v>
      </c>
    </row>
    <row r="30" spans="1:14">
      <c r="A30" s="262"/>
      <c r="B30" s="245"/>
      <c r="C30" s="229"/>
      <c r="D30" s="245"/>
      <c r="E30" s="245"/>
      <c r="F30" s="229"/>
      <c r="G30" s="229"/>
      <c r="H30" s="245"/>
      <c r="I30" s="245"/>
      <c r="J30" s="245"/>
      <c r="K30" s="245"/>
      <c r="L30" s="245"/>
      <c r="M30" s="245"/>
      <c r="N30" s="245">
        <f t="shared" si="1"/>
        <v>0</v>
      </c>
    </row>
    <row r="31" spans="1:14">
      <c r="A31" s="262" t="s">
        <v>148</v>
      </c>
      <c r="B31" s="245"/>
      <c r="C31" s="229"/>
      <c r="D31" s="245"/>
      <c r="E31" s="245"/>
      <c r="F31" s="229"/>
      <c r="G31" s="229"/>
      <c r="H31" s="245"/>
      <c r="I31" s="245"/>
      <c r="J31" s="245">
        <v>-13418.5</v>
      </c>
      <c r="K31" s="245"/>
      <c r="L31" s="245"/>
      <c r="M31" s="245"/>
      <c r="N31" s="245">
        <f t="shared" si="1"/>
        <v>-13418.5</v>
      </c>
    </row>
    <row r="32" spans="1:14">
      <c r="A32" s="249" t="s">
        <v>104</v>
      </c>
      <c r="B32" s="263">
        <f t="shared" ref="B32:N32" si="2">SUM(B3:B31)</f>
        <v>18700</v>
      </c>
      <c r="C32" s="247">
        <f t="shared" si="2"/>
        <v>43730</v>
      </c>
      <c r="D32" s="263">
        <f t="shared" si="2"/>
        <v>51225</v>
      </c>
      <c r="E32" s="263">
        <f t="shared" si="2"/>
        <v>33687</v>
      </c>
      <c r="F32" s="263">
        <f t="shared" si="2"/>
        <v>16300</v>
      </c>
      <c r="G32" s="263">
        <f t="shared" si="2"/>
        <v>50166.400000000001</v>
      </c>
      <c r="H32" s="263">
        <f t="shared" si="2"/>
        <v>39260</v>
      </c>
      <c r="I32" s="263">
        <f t="shared" si="2"/>
        <v>42486</v>
      </c>
      <c r="J32" s="263">
        <f t="shared" si="2"/>
        <v>-13418.5</v>
      </c>
      <c r="K32" s="263">
        <f t="shared" si="2"/>
        <v>83170</v>
      </c>
      <c r="L32" s="263">
        <f t="shared" si="2"/>
        <v>0</v>
      </c>
      <c r="M32" s="263">
        <f t="shared" si="2"/>
        <v>0</v>
      </c>
      <c r="N32" s="263">
        <f t="shared" si="2"/>
        <v>365305.9</v>
      </c>
    </row>
    <row r="34" spans="14:14">
      <c r="N34" s="255">
        <f>SUM(B32:M32)-N32</f>
        <v>0</v>
      </c>
    </row>
  </sheetData>
  <phoneticPr fontId="22" type="noConversion"/>
  <pageMargins left="0.25" right="0.25" top="0.75" bottom="0.75" header="0.3" footer="0.3"/>
  <pageSetup paperSize="9" firstPageNumber="4294967295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1:N48"/>
  <sheetViews>
    <sheetView topLeftCell="C1" workbookViewId="0">
      <selection activeCell="K5" sqref="K5"/>
    </sheetView>
  </sheetViews>
  <sheetFormatPr defaultRowHeight="15"/>
  <cols>
    <col min="1" max="1" width="33.140625" bestFit="1" customWidth="1"/>
    <col min="3" max="3" width="8" customWidth="1"/>
    <col min="4" max="4" width="8.28515625" customWidth="1"/>
    <col min="5" max="5" width="8" customWidth="1"/>
    <col min="6" max="6" width="8.28515625" customWidth="1"/>
    <col min="7" max="7" width="8" customWidth="1"/>
    <col min="14" max="14" width="14.5703125" style="97" bestFit="1" customWidth="1"/>
  </cols>
  <sheetData>
    <row r="1" spans="1:14">
      <c r="A1" s="249" t="s">
        <v>149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318"/>
    </row>
    <row r="2" spans="1:14">
      <c r="A2" s="250"/>
      <c r="B2" s="271" t="s">
        <v>4</v>
      </c>
      <c r="C2" s="271" t="s">
        <v>5</v>
      </c>
      <c r="D2" s="271" t="s">
        <v>6</v>
      </c>
      <c r="E2" s="272" t="s">
        <v>7</v>
      </c>
      <c r="F2" s="271" t="s">
        <v>8</v>
      </c>
      <c r="G2" s="272" t="s">
        <v>9</v>
      </c>
      <c r="H2" s="271" t="s">
        <v>14</v>
      </c>
      <c r="I2" s="272" t="s">
        <v>15</v>
      </c>
      <c r="J2" s="271" t="s">
        <v>16</v>
      </c>
      <c r="K2" s="271" t="s">
        <v>17</v>
      </c>
      <c r="L2" s="271" t="s">
        <v>18</v>
      </c>
      <c r="M2" s="271" t="s">
        <v>19</v>
      </c>
      <c r="N2" s="319"/>
    </row>
    <row r="3" spans="1:14">
      <c r="A3" s="256"/>
      <c r="B3" s="243"/>
      <c r="C3" s="243"/>
      <c r="D3" s="243"/>
      <c r="E3" s="244"/>
      <c r="F3" s="243"/>
      <c r="G3" s="244"/>
      <c r="H3" s="243"/>
      <c r="I3" s="244"/>
      <c r="J3" s="243"/>
      <c r="K3" s="243"/>
      <c r="L3" s="243"/>
      <c r="M3" s="243"/>
      <c r="N3" s="289"/>
    </row>
    <row r="4" spans="1:14">
      <c r="A4" s="315" t="s">
        <v>149</v>
      </c>
      <c r="B4" s="245">
        <v>106751.96</v>
      </c>
      <c r="C4" s="245">
        <v>93957.72</v>
      </c>
      <c r="D4" s="245">
        <v>126445.41</v>
      </c>
      <c r="E4" s="245">
        <v>86209.55</v>
      </c>
      <c r="F4" s="245">
        <v>130108.09</v>
      </c>
      <c r="G4" s="245">
        <v>115937.29</v>
      </c>
      <c r="H4" s="245">
        <v>198656.65</v>
      </c>
      <c r="I4" s="245">
        <v>203007.64</v>
      </c>
      <c r="J4" s="245">
        <v>213206.51</v>
      </c>
      <c r="K4" s="245">
        <v>185424.47</v>
      </c>
      <c r="L4" s="245"/>
      <c r="M4" s="245"/>
      <c r="N4" s="289">
        <f t="shared" ref="N4:N9" si="0">SUM(B4:M4)</f>
        <v>1459705.29</v>
      </c>
    </row>
    <row r="5" spans="1:14">
      <c r="A5" s="315" t="s">
        <v>150</v>
      </c>
      <c r="B5" s="245">
        <v>-34160.22</v>
      </c>
      <c r="C5" s="245">
        <f>-10763.86-1051.96-2380</f>
        <v>-14195.82</v>
      </c>
      <c r="D5" s="245">
        <f>-13290.74-1337.56</f>
        <v>-14628.3</v>
      </c>
      <c r="E5" s="245">
        <f>-799.68-4760-7767.32</f>
        <v>-13327</v>
      </c>
      <c r="F5" s="245">
        <f>-1113.84-2380</f>
        <v>-3493.84</v>
      </c>
      <c r="G5" s="245">
        <f>-985.32-19923.92</f>
        <v>-20909.239999999998</v>
      </c>
      <c r="H5" s="245">
        <f>-11221.34</f>
        <v>-11221.34</v>
      </c>
      <c r="I5" s="245">
        <f>-2975-7140-9226.52</f>
        <v>-19341.52</v>
      </c>
      <c r="J5" s="245">
        <f>-4405-11002.81</f>
        <v>-15407.81</v>
      </c>
      <c r="K5" s="245">
        <f>-2025-2380-11383.63</f>
        <v>-15788.63</v>
      </c>
      <c r="L5" s="245"/>
      <c r="M5" s="245"/>
      <c r="N5" s="289">
        <f t="shared" si="0"/>
        <v>-162473.71999999997</v>
      </c>
    </row>
    <row r="6" spans="1:14">
      <c r="A6" s="245" t="s">
        <v>151</v>
      </c>
      <c r="B6" s="245">
        <v>1080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89">
        <f t="shared" si="0"/>
        <v>1080</v>
      </c>
    </row>
    <row r="7" spans="1:14">
      <c r="A7" s="245" t="s">
        <v>152</v>
      </c>
      <c r="B7" s="245">
        <v>5722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87">
        <f t="shared" si="0"/>
        <v>5722</v>
      </c>
    </row>
    <row r="8" spans="1:14">
      <c r="A8" s="245" t="s">
        <v>153</v>
      </c>
      <c r="B8" s="245">
        <v>382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87">
        <f t="shared" si="0"/>
        <v>382</v>
      </c>
    </row>
    <row r="9" spans="1:14">
      <c r="A9" s="245" t="s">
        <v>154</v>
      </c>
      <c r="B9" s="245">
        <v>1800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87">
        <f t="shared" si="0"/>
        <v>1800</v>
      </c>
    </row>
    <row r="10" spans="1:14">
      <c r="A10" s="245" t="s">
        <v>155</v>
      </c>
      <c r="B10" s="245">
        <f>76+52</f>
        <v>128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87">
        <f t="shared" ref="N10:N45" si="1">SUM(B10:M10)</f>
        <v>128</v>
      </c>
    </row>
    <row r="11" spans="1:14">
      <c r="A11" s="262" t="s">
        <v>156</v>
      </c>
      <c r="B11" s="243">
        <v>400</v>
      </c>
      <c r="C11" s="243"/>
      <c r="D11" s="243"/>
      <c r="E11" s="244"/>
      <c r="F11" s="243"/>
      <c r="G11" s="244"/>
      <c r="H11" s="243"/>
      <c r="I11" s="244"/>
      <c r="J11" s="243"/>
      <c r="K11" s="243"/>
      <c r="L11" s="243"/>
      <c r="M11" s="243"/>
      <c r="N11" s="289">
        <f t="shared" si="1"/>
        <v>400</v>
      </c>
    </row>
    <row r="12" spans="1:14">
      <c r="A12" s="256" t="s">
        <v>196</v>
      </c>
      <c r="B12" s="243"/>
      <c r="C12" s="243">
        <v>250</v>
      </c>
      <c r="D12" s="243"/>
      <c r="E12" s="244"/>
      <c r="F12" s="243"/>
      <c r="G12" s="244"/>
      <c r="H12" s="243"/>
      <c r="I12" s="244"/>
      <c r="J12" s="243"/>
      <c r="K12" s="243"/>
      <c r="L12" s="243"/>
      <c r="M12" s="243"/>
      <c r="N12" s="289">
        <f t="shared" si="1"/>
        <v>250</v>
      </c>
    </row>
    <row r="13" spans="1:14">
      <c r="A13" s="256" t="s">
        <v>208</v>
      </c>
      <c r="B13" s="243"/>
      <c r="C13" s="243"/>
      <c r="D13" s="243">
        <v>320</v>
      </c>
      <c r="E13" s="244"/>
      <c r="F13" s="243"/>
      <c r="G13" s="244"/>
      <c r="H13" s="243"/>
      <c r="I13" s="244"/>
      <c r="J13" s="243"/>
      <c r="K13" s="243"/>
      <c r="L13" s="243"/>
      <c r="M13" s="243"/>
      <c r="N13" s="289">
        <f t="shared" si="1"/>
        <v>320</v>
      </c>
    </row>
    <row r="14" spans="1:14">
      <c r="A14" s="262" t="s">
        <v>209</v>
      </c>
      <c r="B14" s="245"/>
      <c r="C14" s="245"/>
      <c r="D14" s="245">
        <v>3850</v>
      </c>
      <c r="E14" s="246"/>
      <c r="F14" s="245"/>
      <c r="G14" s="246"/>
      <c r="H14" s="245"/>
      <c r="I14" s="246"/>
      <c r="J14" s="245"/>
      <c r="K14" s="245"/>
      <c r="L14" s="245"/>
      <c r="M14" s="245"/>
      <c r="N14" s="289">
        <f t="shared" si="1"/>
        <v>3850</v>
      </c>
    </row>
    <row r="15" spans="1:14">
      <c r="A15" s="256" t="s">
        <v>210</v>
      </c>
      <c r="B15" s="245"/>
      <c r="C15" s="245"/>
      <c r="D15" s="245">
        <v>1105</v>
      </c>
      <c r="E15" s="246"/>
      <c r="F15" s="245"/>
      <c r="G15" s="246"/>
      <c r="H15" s="245"/>
      <c r="I15" s="246"/>
      <c r="J15" s="245"/>
      <c r="K15" s="245"/>
      <c r="L15" s="245"/>
      <c r="M15" s="245"/>
      <c r="N15" s="289">
        <f t="shared" si="1"/>
        <v>1105</v>
      </c>
    </row>
    <row r="16" spans="1:14">
      <c r="A16" s="256" t="s">
        <v>218</v>
      </c>
      <c r="B16" s="245"/>
      <c r="C16" s="245"/>
      <c r="D16" s="245">
        <v>1780</v>
      </c>
      <c r="E16" s="246"/>
      <c r="F16" s="245"/>
      <c r="G16" s="246"/>
      <c r="H16" s="245"/>
      <c r="I16" s="246"/>
      <c r="J16" s="245"/>
      <c r="K16" s="245"/>
      <c r="L16" s="245"/>
      <c r="M16" s="245"/>
      <c r="N16" s="289">
        <f t="shared" si="1"/>
        <v>1780</v>
      </c>
    </row>
    <row r="17" spans="1:14">
      <c r="A17" s="256" t="s">
        <v>219</v>
      </c>
      <c r="B17" s="245"/>
      <c r="C17" s="245"/>
      <c r="D17" s="245">
        <v>600</v>
      </c>
      <c r="E17" s="245"/>
      <c r="F17" s="245"/>
      <c r="G17" s="245"/>
      <c r="H17" s="245"/>
      <c r="I17" s="245"/>
      <c r="J17" s="245"/>
      <c r="K17" s="245"/>
      <c r="L17" s="245"/>
      <c r="M17" s="245"/>
      <c r="N17" s="289">
        <f t="shared" si="1"/>
        <v>600</v>
      </c>
    </row>
    <row r="18" spans="1:14">
      <c r="A18" s="256" t="s">
        <v>228</v>
      </c>
      <c r="B18" s="245"/>
      <c r="C18" s="245"/>
      <c r="D18" s="245">
        <v>5580</v>
      </c>
      <c r="E18" s="245"/>
      <c r="F18" s="245"/>
      <c r="G18" s="245"/>
      <c r="H18" s="245"/>
      <c r="I18" s="245"/>
      <c r="J18" s="245"/>
      <c r="K18" s="245"/>
      <c r="L18" s="245"/>
      <c r="M18" s="245"/>
      <c r="N18" s="289">
        <f t="shared" si="1"/>
        <v>5580</v>
      </c>
    </row>
    <row r="19" spans="1:14">
      <c r="A19" s="256" t="s">
        <v>229</v>
      </c>
      <c r="B19" s="245"/>
      <c r="C19" s="245"/>
      <c r="D19" s="245">
        <f>1604+3500</f>
        <v>5104</v>
      </c>
      <c r="E19" s="245"/>
      <c r="F19" s="245">
        <v>9750</v>
      </c>
      <c r="G19" s="245"/>
      <c r="H19" s="245"/>
      <c r="I19" s="245"/>
      <c r="J19" s="245"/>
      <c r="K19" s="245"/>
      <c r="L19" s="245"/>
      <c r="M19" s="245"/>
      <c r="N19" s="289">
        <f t="shared" si="1"/>
        <v>14854</v>
      </c>
    </row>
    <row r="20" spans="1:14">
      <c r="A20" s="256" t="s">
        <v>159</v>
      </c>
      <c r="B20" s="245"/>
      <c r="C20" s="245"/>
      <c r="D20" s="245"/>
      <c r="E20" s="245">
        <v>400</v>
      </c>
      <c r="F20" s="245"/>
      <c r="G20" s="245"/>
      <c r="H20" s="245"/>
      <c r="I20" s="245"/>
      <c r="J20" s="245"/>
      <c r="K20" s="245"/>
      <c r="L20" s="245"/>
      <c r="M20" s="245"/>
      <c r="N20" s="289">
        <f t="shared" si="1"/>
        <v>400</v>
      </c>
    </row>
    <row r="21" spans="1:14">
      <c r="A21" s="256" t="s">
        <v>266</v>
      </c>
      <c r="B21" s="245"/>
      <c r="C21" s="245"/>
      <c r="D21" s="245"/>
      <c r="E21" s="245"/>
      <c r="F21" s="245">
        <v>699.98</v>
      </c>
      <c r="G21" s="245"/>
      <c r="H21" s="245"/>
      <c r="I21" s="245"/>
      <c r="J21" s="245"/>
      <c r="K21" s="245"/>
      <c r="L21" s="245"/>
      <c r="M21" s="245"/>
      <c r="N21" s="289">
        <f t="shared" si="1"/>
        <v>699.98</v>
      </c>
    </row>
    <row r="22" spans="1:14">
      <c r="A22" s="256" t="s">
        <v>278</v>
      </c>
      <c r="B22" s="245"/>
      <c r="C22" s="245"/>
      <c r="D22" s="245"/>
      <c r="E22" s="245"/>
      <c r="F22" s="245">
        <v>12000</v>
      </c>
      <c r="G22" s="245"/>
      <c r="H22" s="245"/>
      <c r="I22" s="245"/>
      <c r="J22" s="245"/>
      <c r="K22" s="245"/>
      <c r="L22" s="245"/>
      <c r="M22" s="245"/>
      <c r="N22" s="289">
        <f t="shared" si="1"/>
        <v>12000</v>
      </c>
    </row>
    <row r="23" spans="1:14">
      <c r="A23" s="256" t="s">
        <v>279</v>
      </c>
      <c r="B23" s="245"/>
      <c r="C23" s="245"/>
      <c r="D23" s="245"/>
      <c r="E23" s="245"/>
      <c r="F23" s="245">
        <v>30000</v>
      </c>
      <c r="G23" s="245"/>
      <c r="H23" s="245"/>
      <c r="I23" s="245"/>
      <c r="J23" s="245"/>
      <c r="K23" s="245"/>
      <c r="L23" s="245"/>
      <c r="M23" s="245"/>
      <c r="N23" s="289">
        <f t="shared" si="1"/>
        <v>30000</v>
      </c>
    </row>
    <row r="24" spans="1:14">
      <c r="A24" s="256" t="s">
        <v>286</v>
      </c>
      <c r="B24" s="245"/>
      <c r="C24" s="245"/>
      <c r="D24" s="245"/>
      <c r="E24" s="245"/>
      <c r="F24" s="245"/>
      <c r="G24" s="245">
        <v>470</v>
      </c>
      <c r="H24" s="245"/>
      <c r="I24" s="245"/>
      <c r="J24" s="245"/>
      <c r="K24" s="245"/>
      <c r="L24" s="245"/>
      <c r="M24" s="245"/>
      <c r="N24" s="289">
        <f t="shared" si="1"/>
        <v>470</v>
      </c>
    </row>
    <row r="25" spans="1:14">
      <c r="A25" s="256" t="s">
        <v>291</v>
      </c>
      <c r="B25" s="245"/>
      <c r="C25" s="245"/>
      <c r="D25" s="245"/>
      <c r="E25" s="245"/>
      <c r="F25" s="245"/>
      <c r="G25" s="245">
        <v>5250</v>
      </c>
      <c r="H25" s="245"/>
      <c r="I25" s="245"/>
      <c r="J25" s="245"/>
      <c r="K25" s="245"/>
      <c r="L25" s="245"/>
      <c r="M25" s="245"/>
      <c r="N25" s="289">
        <f t="shared" si="1"/>
        <v>5250</v>
      </c>
    </row>
    <row r="26" spans="1:14">
      <c r="A26" s="256" t="s">
        <v>219</v>
      </c>
      <c r="B26" s="245"/>
      <c r="C26" s="245"/>
      <c r="D26" s="245"/>
      <c r="E26" s="245"/>
      <c r="F26" s="245"/>
      <c r="G26" s="245"/>
      <c r="H26" s="245">
        <v>2680</v>
      </c>
      <c r="I26" s="245"/>
      <c r="J26" s="245"/>
      <c r="K26" s="245"/>
      <c r="L26" s="245"/>
      <c r="M26" s="245"/>
      <c r="N26" s="289">
        <f t="shared" si="1"/>
        <v>2680</v>
      </c>
    </row>
    <row r="27" spans="1:14">
      <c r="A27" s="256" t="s">
        <v>310</v>
      </c>
      <c r="B27" s="245"/>
      <c r="C27" s="245"/>
      <c r="D27" s="245"/>
      <c r="E27" s="245"/>
      <c r="F27" s="245"/>
      <c r="G27" s="245"/>
      <c r="H27" s="245">
        <f>646.4+4338</f>
        <v>4984.3999999999996</v>
      </c>
      <c r="I27" s="245"/>
      <c r="J27" s="245"/>
      <c r="K27" s="245"/>
      <c r="L27" s="245"/>
      <c r="M27" s="245"/>
      <c r="N27" s="289">
        <f t="shared" si="1"/>
        <v>4984.3999999999996</v>
      </c>
    </row>
    <row r="28" spans="1:14">
      <c r="A28" s="256" t="s">
        <v>313</v>
      </c>
      <c r="B28" s="245"/>
      <c r="C28" s="245"/>
      <c r="D28" s="245"/>
      <c r="E28" s="245"/>
      <c r="F28" s="245"/>
      <c r="G28" s="245"/>
      <c r="H28" s="245">
        <f>278+226+2.4</f>
        <v>506.4</v>
      </c>
      <c r="I28" s="245"/>
      <c r="J28" s="245"/>
      <c r="K28" s="245"/>
      <c r="L28" s="245"/>
      <c r="M28" s="245"/>
      <c r="N28" s="289">
        <f t="shared" si="1"/>
        <v>506.4</v>
      </c>
    </row>
    <row r="29" spans="1:14">
      <c r="A29" s="256" t="s">
        <v>324</v>
      </c>
      <c r="B29" s="245"/>
      <c r="C29" s="245"/>
      <c r="D29" s="245"/>
      <c r="E29" s="245"/>
      <c r="F29" s="245"/>
      <c r="G29" s="245"/>
      <c r="H29" s="245"/>
      <c r="I29" s="245">
        <v>452</v>
      </c>
      <c r="J29" s="245"/>
      <c r="K29" s="245"/>
      <c r="L29" s="245"/>
      <c r="M29" s="245"/>
      <c r="N29" s="289">
        <f t="shared" si="1"/>
        <v>452</v>
      </c>
    </row>
    <row r="30" spans="1:14">
      <c r="A30" s="256" t="s">
        <v>337</v>
      </c>
      <c r="B30" s="245"/>
      <c r="C30" s="245"/>
      <c r="D30" s="245"/>
      <c r="E30" s="245"/>
      <c r="F30" s="245"/>
      <c r="G30" s="245"/>
      <c r="H30" s="245"/>
      <c r="I30" s="245">
        <v>2160</v>
      </c>
      <c r="J30" s="245"/>
      <c r="K30" s="245"/>
      <c r="L30" s="245"/>
      <c r="M30" s="245"/>
      <c r="N30" s="289">
        <f t="shared" si="1"/>
        <v>2160</v>
      </c>
    </row>
    <row r="31" spans="1:14">
      <c r="A31" s="256" t="s">
        <v>338</v>
      </c>
      <c r="B31" s="245"/>
      <c r="C31" s="245"/>
      <c r="D31" s="245"/>
      <c r="E31" s="245"/>
      <c r="F31" s="245"/>
      <c r="G31" s="245"/>
      <c r="H31" s="245"/>
      <c r="I31" s="245">
        <v>2520</v>
      </c>
      <c r="J31" s="245"/>
      <c r="K31" s="245"/>
      <c r="L31" s="245"/>
      <c r="M31" s="245"/>
      <c r="N31" s="289">
        <f t="shared" si="1"/>
        <v>2520</v>
      </c>
    </row>
    <row r="32" spans="1:14">
      <c r="A32" s="256" t="s">
        <v>314</v>
      </c>
      <c r="B32" s="245"/>
      <c r="C32" s="245"/>
      <c r="D32" s="245"/>
      <c r="E32" s="245"/>
      <c r="F32" s="245"/>
      <c r="G32" s="245"/>
      <c r="H32" s="245"/>
      <c r="I32" s="245">
        <v>1750</v>
      </c>
      <c r="J32" s="245"/>
      <c r="K32" s="245"/>
      <c r="L32" s="245"/>
      <c r="M32" s="245"/>
      <c r="N32" s="289">
        <f t="shared" si="1"/>
        <v>1750</v>
      </c>
    </row>
    <row r="33" spans="1:14">
      <c r="A33" s="256" t="s">
        <v>339</v>
      </c>
      <c r="B33" s="245"/>
      <c r="C33" s="245"/>
      <c r="D33" s="245"/>
      <c r="E33" s="245"/>
      <c r="F33" s="245"/>
      <c r="G33" s="245"/>
      <c r="H33" s="245"/>
      <c r="I33" s="245">
        <v>9870</v>
      </c>
      <c r="J33" s="245"/>
      <c r="K33" s="245"/>
      <c r="L33" s="245"/>
      <c r="M33" s="245"/>
      <c r="N33" s="289">
        <f t="shared" si="1"/>
        <v>9870</v>
      </c>
    </row>
    <row r="34" spans="1:14">
      <c r="A34" s="256" t="s">
        <v>340</v>
      </c>
      <c r="B34" s="245"/>
      <c r="C34" s="245"/>
      <c r="D34" s="245"/>
      <c r="E34" s="245"/>
      <c r="F34" s="245"/>
      <c r="G34" s="245"/>
      <c r="H34" s="245"/>
      <c r="I34" s="245">
        <v>5960</v>
      </c>
      <c r="J34" s="245"/>
      <c r="K34" s="245"/>
      <c r="L34" s="245"/>
      <c r="M34" s="245"/>
      <c r="N34" s="289">
        <f t="shared" si="1"/>
        <v>5960</v>
      </c>
    </row>
    <row r="35" spans="1:14">
      <c r="A35" s="256" t="s">
        <v>341</v>
      </c>
      <c r="B35" s="245"/>
      <c r="C35" s="245"/>
      <c r="D35" s="245"/>
      <c r="E35" s="245"/>
      <c r="F35" s="245"/>
      <c r="G35" s="245"/>
      <c r="H35" s="245"/>
      <c r="I35" s="245">
        <v>170</v>
      </c>
      <c r="J35" s="245"/>
      <c r="K35" s="245"/>
      <c r="L35" s="245"/>
      <c r="M35" s="245"/>
      <c r="N35" s="289">
        <f t="shared" si="1"/>
        <v>170</v>
      </c>
    </row>
    <row r="36" spans="1:14">
      <c r="A36" s="256" t="s">
        <v>352</v>
      </c>
      <c r="B36" s="245"/>
      <c r="C36" s="245"/>
      <c r="D36" s="245"/>
      <c r="E36" s="245"/>
      <c r="F36" s="245"/>
      <c r="G36" s="245"/>
      <c r="H36" s="245"/>
      <c r="I36" s="245"/>
      <c r="J36" s="245">
        <v>8000</v>
      </c>
      <c r="K36" s="245"/>
      <c r="L36" s="245"/>
      <c r="M36" s="245"/>
      <c r="N36" s="289">
        <f t="shared" si="1"/>
        <v>8000</v>
      </c>
    </row>
    <row r="37" spans="1:14">
      <c r="A37" s="256" t="s">
        <v>229</v>
      </c>
      <c r="B37" s="245"/>
      <c r="C37" s="245"/>
      <c r="D37" s="245"/>
      <c r="E37" s="245"/>
      <c r="F37" s="245"/>
      <c r="G37" s="245"/>
      <c r="H37" s="245"/>
      <c r="I37" s="245"/>
      <c r="J37" s="245">
        <v>6300</v>
      </c>
      <c r="K37" s="245"/>
      <c r="L37" s="245"/>
      <c r="M37" s="245"/>
      <c r="N37" s="289">
        <f t="shared" si="1"/>
        <v>6300</v>
      </c>
    </row>
    <row r="38" spans="1:14">
      <c r="A38" s="256" t="s">
        <v>360</v>
      </c>
      <c r="B38" s="245"/>
      <c r="C38" s="245"/>
      <c r="D38" s="245"/>
      <c r="E38" s="245"/>
      <c r="F38" s="245"/>
      <c r="G38" s="245"/>
      <c r="H38" s="245"/>
      <c r="I38" s="245"/>
      <c r="J38" s="245">
        <v>1000</v>
      </c>
      <c r="K38" s="245"/>
      <c r="L38" s="245"/>
      <c r="M38" s="245"/>
      <c r="N38" s="289">
        <f t="shared" si="1"/>
        <v>1000</v>
      </c>
    </row>
    <row r="39" spans="1:14">
      <c r="A39" s="256"/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89">
        <f t="shared" si="1"/>
        <v>0</v>
      </c>
    </row>
    <row r="40" spans="1:14">
      <c r="A40" s="256"/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89">
        <f t="shared" si="1"/>
        <v>0</v>
      </c>
    </row>
    <row r="41" spans="1:14">
      <c r="A41" s="256"/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89">
        <f t="shared" si="1"/>
        <v>0</v>
      </c>
    </row>
    <row r="42" spans="1:14">
      <c r="A42" s="256"/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89">
        <f t="shared" si="1"/>
        <v>0</v>
      </c>
    </row>
    <row r="43" spans="1:14">
      <c r="A43" s="256"/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89">
        <f t="shared" si="1"/>
        <v>0</v>
      </c>
    </row>
    <row r="44" spans="1:14">
      <c r="A44" s="256"/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89">
        <f t="shared" si="1"/>
        <v>0</v>
      </c>
    </row>
    <row r="45" spans="1:14">
      <c r="A45" s="256"/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89">
        <f t="shared" si="1"/>
        <v>0</v>
      </c>
    </row>
    <row r="46" spans="1:14">
      <c r="A46" s="249" t="s">
        <v>104</v>
      </c>
      <c r="B46" s="263">
        <f>SUM(B4:B45)</f>
        <v>82103.740000000005</v>
      </c>
      <c r="C46" s="263">
        <f t="shared" ref="C46:M46" si="2">SUM(C4:C45)</f>
        <v>80011.899999999994</v>
      </c>
      <c r="D46" s="263">
        <f t="shared" si="2"/>
        <v>130156.11</v>
      </c>
      <c r="E46" s="263">
        <f t="shared" si="2"/>
        <v>73282.55</v>
      </c>
      <c r="F46" s="263">
        <f t="shared" si="2"/>
        <v>179064.23</v>
      </c>
      <c r="G46" s="263">
        <f t="shared" si="2"/>
        <v>100748.04999999999</v>
      </c>
      <c r="H46" s="263">
        <f t="shared" si="2"/>
        <v>195606.11</v>
      </c>
      <c r="I46" s="263">
        <f t="shared" si="2"/>
        <v>206548.12000000002</v>
      </c>
      <c r="J46" s="263">
        <f t="shared" si="2"/>
        <v>213098.7</v>
      </c>
      <c r="K46" s="263">
        <f t="shared" si="2"/>
        <v>169635.84</v>
      </c>
      <c r="L46" s="263">
        <f t="shared" si="2"/>
        <v>0</v>
      </c>
      <c r="M46" s="263">
        <f t="shared" si="2"/>
        <v>0</v>
      </c>
      <c r="N46" s="320">
        <f>SUM(N4:N45)</f>
        <v>1430255.3499999999</v>
      </c>
    </row>
    <row r="48" spans="1:14">
      <c r="N48" s="97">
        <f>SUM(B46:M46)-N46</f>
        <v>0</v>
      </c>
    </row>
  </sheetData>
  <phoneticPr fontId="22" type="noConversion"/>
  <pageMargins left="0.25" right="0.25" top="0.75" bottom="0.75" header="0.3" footer="0.3"/>
  <pageSetup paperSize="9" scale="97" firstPageNumber="4294967295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1" tint="4.9989318521683403E-2"/>
    <pageSetUpPr fitToPage="1"/>
  </sheetPr>
  <dimension ref="A1:N47"/>
  <sheetViews>
    <sheetView workbookViewId="0">
      <selection activeCell="K6" sqref="K6"/>
    </sheetView>
  </sheetViews>
  <sheetFormatPr defaultRowHeight="15"/>
  <cols>
    <col min="1" max="1" width="29.42578125" bestFit="1" customWidth="1"/>
    <col min="2" max="2" width="11.42578125" style="1" customWidth="1"/>
    <col min="3" max="3" width="10" customWidth="1"/>
    <col min="4" max="4" width="10" style="1" customWidth="1"/>
    <col min="5" max="5" width="9.42578125" customWidth="1"/>
    <col min="6" max="6" width="11.5703125" customWidth="1"/>
  </cols>
  <sheetData>
    <row r="1" spans="1:14">
      <c r="A1" s="249" t="s">
        <v>101</v>
      </c>
      <c r="B1" s="215"/>
      <c r="C1" s="256"/>
      <c r="D1" s="215"/>
      <c r="E1" s="256"/>
      <c r="F1" s="216"/>
      <c r="G1" s="216" t="str">
        <f ca="1">'ВСЕ затраты'!B1</f>
        <v>2022-2023гг.</v>
      </c>
      <c r="H1" s="249"/>
      <c r="I1" s="256"/>
      <c r="J1" s="256"/>
      <c r="K1" s="256"/>
      <c r="L1" s="256"/>
      <c r="M1" s="256"/>
      <c r="N1" s="250"/>
    </row>
    <row r="2" spans="1:14">
      <c r="A2" s="250"/>
      <c r="B2" s="219" t="s">
        <v>4</v>
      </c>
      <c r="C2" s="219" t="s">
        <v>5</v>
      </c>
      <c r="D2" s="220" t="s">
        <v>6</v>
      </c>
      <c r="E2" s="219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56"/>
      <c r="B3" s="224"/>
      <c r="C3" s="243"/>
      <c r="D3" s="224"/>
      <c r="E3" s="244"/>
      <c r="F3" s="243"/>
      <c r="G3" s="244"/>
      <c r="H3" s="243"/>
      <c r="I3" s="244"/>
      <c r="J3" s="243"/>
      <c r="K3" s="243"/>
      <c r="L3" s="243"/>
      <c r="M3" s="243"/>
      <c r="N3" s="243"/>
    </row>
    <row r="4" spans="1:14">
      <c r="A4" s="262" t="s">
        <v>108</v>
      </c>
      <c r="B4" s="229">
        <v>4708</v>
      </c>
      <c r="C4" s="245"/>
      <c r="D4" s="229"/>
      <c r="E4" s="245"/>
      <c r="F4" s="245">
        <v>4625</v>
      </c>
      <c r="G4" s="245">
        <v>2723</v>
      </c>
      <c r="H4" s="245"/>
      <c r="I4" s="245">
        <v>941</v>
      </c>
      <c r="J4" s="245"/>
      <c r="K4" s="245"/>
      <c r="L4" s="245"/>
      <c r="M4" s="245"/>
      <c r="N4" s="246">
        <f t="shared" ref="N4:N44" si="0">SUM(B4:M4)</f>
        <v>12997</v>
      </c>
    </row>
    <row r="5" spans="1:14">
      <c r="A5" s="256" t="s">
        <v>109</v>
      </c>
      <c r="B5" s="229"/>
      <c r="C5" s="245"/>
      <c r="D5" s="229"/>
      <c r="E5" s="245"/>
      <c r="F5" s="245"/>
      <c r="G5" s="245"/>
      <c r="H5" s="245"/>
      <c r="I5" s="245">
        <v>2316.23</v>
      </c>
      <c r="J5" s="245"/>
      <c r="K5" s="245">
        <v>2094</v>
      </c>
      <c r="L5" s="245"/>
      <c r="M5" s="245"/>
      <c r="N5" s="246">
        <f t="shared" si="0"/>
        <v>4410.2299999999996</v>
      </c>
    </row>
    <row r="6" spans="1:14">
      <c r="A6" s="256" t="s">
        <v>185</v>
      </c>
      <c r="B6" s="229"/>
      <c r="C6" s="245">
        <v>9990</v>
      </c>
      <c r="D6" s="229"/>
      <c r="E6" s="245"/>
      <c r="F6" s="245">
        <v>10856</v>
      </c>
      <c r="G6" s="245">
        <f>9992.5+1427.5+5598+5598</f>
        <v>22616</v>
      </c>
      <c r="H6" s="245"/>
      <c r="I6" s="245">
        <f>5698+9900+5698</f>
        <v>21296</v>
      </c>
      <c r="J6" s="245">
        <f>11576+11576</f>
        <v>23152</v>
      </c>
      <c r="K6" s="245">
        <f>11576</f>
        <v>11576</v>
      </c>
      <c r="L6" s="245"/>
      <c r="M6" s="245"/>
      <c r="N6" s="246">
        <f t="shared" si="0"/>
        <v>99486</v>
      </c>
    </row>
    <row r="7" spans="1:14">
      <c r="A7" s="256" t="s">
        <v>157</v>
      </c>
      <c r="B7" s="229">
        <v>1450</v>
      </c>
      <c r="C7" s="245"/>
      <c r="D7" s="229"/>
      <c r="E7" s="245"/>
      <c r="F7" s="245"/>
      <c r="G7" s="245"/>
      <c r="H7" s="245"/>
      <c r="I7" s="245"/>
      <c r="J7" s="245"/>
      <c r="K7" s="245"/>
      <c r="L7" s="245"/>
      <c r="M7" s="245"/>
      <c r="N7" s="246">
        <f t="shared" si="0"/>
        <v>1450</v>
      </c>
    </row>
    <row r="8" spans="1:14">
      <c r="A8" s="256" t="s">
        <v>158</v>
      </c>
      <c r="B8" s="229">
        <v>1470</v>
      </c>
      <c r="C8" s="245"/>
      <c r="D8" s="229"/>
      <c r="E8" s="245"/>
      <c r="F8" s="245"/>
      <c r="G8" s="245"/>
      <c r="H8" s="245"/>
      <c r="I8" s="245"/>
      <c r="J8" s="245"/>
      <c r="K8" s="245"/>
      <c r="L8" s="245"/>
      <c r="M8" s="245"/>
      <c r="N8" s="246">
        <f t="shared" si="0"/>
        <v>1470</v>
      </c>
    </row>
    <row r="9" spans="1:14">
      <c r="A9" s="256" t="s">
        <v>159</v>
      </c>
      <c r="B9" s="229">
        <v>350</v>
      </c>
      <c r="C9" s="245"/>
      <c r="D9" s="229"/>
      <c r="E9" s="245"/>
      <c r="F9" s="245"/>
      <c r="G9" s="245"/>
      <c r="H9" s="245"/>
      <c r="I9" s="245"/>
      <c r="J9" s="245"/>
      <c r="K9" s="245"/>
      <c r="L9" s="245"/>
      <c r="M9" s="245"/>
      <c r="N9" s="243">
        <f t="shared" si="0"/>
        <v>350</v>
      </c>
    </row>
    <row r="10" spans="1:14">
      <c r="A10" s="256" t="s">
        <v>178</v>
      </c>
      <c r="B10" s="229"/>
      <c r="C10" s="245">
        <v>17400</v>
      </c>
      <c r="D10" s="229"/>
      <c r="E10" s="245"/>
      <c r="F10" s="245"/>
      <c r="G10" s="245"/>
      <c r="H10" s="245"/>
      <c r="I10" s="245"/>
      <c r="J10" s="245"/>
      <c r="K10" s="245"/>
      <c r="L10" s="245"/>
      <c r="M10" s="245"/>
      <c r="N10" s="243">
        <f t="shared" si="0"/>
        <v>17400</v>
      </c>
    </row>
    <row r="11" spans="1:14">
      <c r="A11" s="256" t="s">
        <v>179</v>
      </c>
      <c r="B11" s="229"/>
      <c r="C11" s="245">
        <v>4000</v>
      </c>
      <c r="D11" s="229"/>
      <c r="E11" s="245"/>
      <c r="F11" s="245">
        <v>2000</v>
      </c>
      <c r="G11" s="245"/>
      <c r="H11" s="245"/>
      <c r="I11" s="245"/>
      <c r="J11" s="245">
        <f>2000+251</f>
        <v>2251</v>
      </c>
      <c r="K11" s="245"/>
      <c r="L11" s="245"/>
      <c r="M11" s="245"/>
      <c r="N11" s="243">
        <f t="shared" si="0"/>
        <v>8251</v>
      </c>
    </row>
    <row r="12" spans="1:14">
      <c r="A12" s="256" t="s">
        <v>180</v>
      </c>
      <c r="B12" s="229"/>
      <c r="C12" s="245">
        <v>1960</v>
      </c>
      <c r="D12" s="229"/>
      <c r="E12" s="245"/>
      <c r="F12" s="245"/>
      <c r="G12" s="245"/>
      <c r="H12" s="245"/>
      <c r="I12" s="245"/>
      <c r="J12" s="245"/>
      <c r="K12" s="245"/>
      <c r="L12" s="245"/>
      <c r="M12" s="245"/>
      <c r="N12" s="243">
        <f t="shared" si="0"/>
        <v>1960</v>
      </c>
    </row>
    <row r="13" spans="1:14">
      <c r="A13" s="256" t="s">
        <v>227</v>
      </c>
      <c r="B13" s="229"/>
      <c r="C13" s="245"/>
      <c r="D13" s="229">
        <v>1300</v>
      </c>
      <c r="E13" s="193"/>
      <c r="F13" s="245"/>
      <c r="G13" s="245"/>
      <c r="H13" s="245"/>
      <c r="I13" s="245"/>
      <c r="J13" s="245"/>
      <c r="K13" s="245"/>
      <c r="L13" s="245"/>
      <c r="M13" s="245"/>
      <c r="N13" s="244">
        <f t="shared" si="0"/>
        <v>1300</v>
      </c>
    </row>
    <row r="14" spans="1:14">
      <c r="A14" s="256" t="s">
        <v>261</v>
      </c>
      <c r="B14" s="229"/>
      <c r="C14" s="245"/>
      <c r="D14" s="229"/>
      <c r="E14" s="245"/>
      <c r="F14" s="245">
        <f>33340+6060+18330</f>
        <v>57730</v>
      </c>
      <c r="G14" s="245"/>
      <c r="H14" s="245"/>
      <c r="I14" s="245"/>
      <c r="J14" s="245"/>
      <c r="K14" s="245"/>
      <c r="L14" s="245"/>
      <c r="M14" s="245"/>
      <c r="N14" s="244">
        <f t="shared" si="0"/>
        <v>57730</v>
      </c>
    </row>
    <row r="15" spans="1:14">
      <c r="A15" s="262" t="s">
        <v>263</v>
      </c>
      <c r="B15" s="229"/>
      <c r="C15" s="245"/>
      <c r="D15" s="229"/>
      <c r="E15" s="245"/>
      <c r="F15" s="245">
        <v>36654</v>
      </c>
      <c r="G15" s="245"/>
      <c r="H15" s="245"/>
      <c r="I15" s="245">
        <v>39690</v>
      </c>
      <c r="J15" s="245"/>
      <c r="K15" s="245"/>
      <c r="L15" s="245"/>
      <c r="M15" s="245"/>
      <c r="N15" s="244">
        <f t="shared" si="0"/>
        <v>76344</v>
      </c>
    </row>
    <row r="16" spans="1:14">
      <c r="A16" s="223" t="s">
        <v>280</v>
      </c>
      <c r="B16" s="224"/>
      <c r="C16" s="245"/>
      <c r="D16" s="229"/>
      <c r="E16" s="245"/>
      <c r="F16" s="245"/>
      <c r="G16" s="245">
        <f>400+400+400</f>
        <v>1200</v>
      </c>
      <c r="H16" s="245"/>
      <c r="I16" s="245"/>
      <c r="J16" s="245"/>
      <c r="K16" s="245"/>
      <c r="L16" s="245"/>
      <c r="M16" s="245"/>
      <c r="N16" s="244">
        <f t="shared" si="0"/>
        <v>1200</v>
      </c>
    </row>
    <row r="17" spans="1:14">
      <c r="A17" s="256" t="s">
        <v>287</v>
      </c>
      <c r="B17" s="229"/>
      <c r="C17" s="245"/>
      <c r="D17" s="229"/>
      <c r="E17" s="245"/>
      <c r="F17" s="245"/>
      <c r="G17" s="245">
        <v>4150</v>
      </c>
      <c r="H17" s="245"/>
      <c r="I17" s="245"/>
      <c r="J17" s="245"/>
      <c r="K17" s="245"/>
      <c r="L17" s="245"/>
      <c r="M17" s="245"/>
      <c r="N17" s="244">
        <f t="shared" si="0"/>
        <v>4150</v>
      </c>
    </row>
    <row r="18" spans="1:14">
      <c r="A18" s="262" t="s">
        <v>288</v>
      </c>
      <c r="B18" s="229"/>
      <c r="C18" s="245"/>
      <c r="D18" s="229"/>
      <c r="E18" s="245"/>
      <c r="F18" s="245"/>
      <c r="G18" s="245">
        <v>1090</v>
      </c>
      <c r="H18" s="245"/>
      <c r="I18" s="245"/>
      <c r="J18" s="245"/>
      <c r="K18" s="245"/>
      <c r="L18" s="245"/>
      <c r="M18" s="245"/>
      <c r="N18" s="244">
        <f t="shared" si="0"/>
        <v>1090</v>
      </c>
    </row>
    <row r="19" spans="1:14">
      <c r="A19" s="256" t="s">
        <v>289</v>
      </c>
      <c r="B19" s="229"/>
      <c r="C19" s="245"/>
      <c r="D19" s="229"/>
      <c r="E19" s="245"/>
      <c r="F19" s="245"/>
      <c r="G19" s="245">
        <v>641</v>
      </c>
      <c r="H19" s="245"/>
      <c r="I19" s="245"/>
      <c r="J19" s="245"/>
      <c r="K19" s="245"/>
      <c r="L19" s="245"/>
      <c r="M19" s="245"/>
      <c r="N19" s="244">
        <f t="shared" si="0"/>
        <v>641</v>
      </c>
    </row>
    <row r="20" spans="1:14">
      <c r="A20" s="256" t="s">
        <v>303</v>
      </c>
      <c r="B20" s="229"/>
      <c r="C20" s="245"/>
      <c r="D20" s="229"/>
      <c r="E20" s="245"/>
      <c r="F20" s="245"/>
      <c r="G20" s="245"/>
      <c r="H20" s="245">
        <v>5500</v>
      </c>
      <c r="I20" s="245"/>
      <c r="J20" s="245"/>
      <c r="K20" s="245"/>
      <c r="L20" s="245"/>
      <c r="M20" s="245"/>
      <c r="N20" s="244">
        <f t="shared" si="0"/>
        <v>5500</v>
      </c>
    </row>
    <row r="21" spans="1:14">
      <c r="A21" s="262" t="s">
        <v>311</v>
      </c>
      <c r="B21" s="229"/>
      <c r="C21" s="245"/>
      <c r="D21" s="229"/>
      <c r="E21" s="245"/>
      <c r="F21" s="245"/>
      <c r="G21" s="245"/>
      <c r="H21" s="245">
        <v>288</v>
      </c>
      <c r="I21" s="245"/>
      <c r="J21" s="245"/>
      <c r="K21" s="245"/>
      <c r="L21" s="245"/>
      <c r="M21" s="245"/>
      <c r="N21" s="244">
        <f t="shared" si="0"/>
        <v>288</v>
      </c>
    </row>
    <row r="22" spans="1:14">
      <c r="A22" s="262" t="s">
        <v>315</v>
      </c>
      <c r="B22" s="229"/>
      <c r="C22" s="245"/>
      <c r="D22" s="229"/>
      <c r="E22" s="245"/>
      <c r="F22" s="245"/>
      <c r="G22" s="245"/>
      <c r="H22" s="245">
        <f>2250+1240</f>
        <v>3490</v>
      </c>
      <c r="I22" s="245"/>
      <c r="J22" s="245"/>
      <c r="K22" s="245"/>
      <c r="L22" s="245"/>
      <c r="M22" s="245"/>
      <c r="N22" s="244">
        <f t="shared" si="0"/>
        <v>3490</v>
      </c>
    </row>
    <row r="23" spans="1:14">
      <c r="A23" s="262" t="s">
        <v>316</v>
      </c>
      <c r="B23" s="229"/>
      <c r="C23" s="245"/>
      <c r="D23" s="229"/>
      <c r="E23" s="245"/>
      <c r="F23" s="245"/>
      <c r="G23" s="245"/>
      <c r="H23" s="245"/>
      <c r="I23" s="245">
        <v>2866.73</v>
      </c>
      <c r="J23" s="245"/>
      <c r="K23" s="245"/>
      <c r="L23" s="245"/>
      <c r="M23" s="245"/>
      <c r="N23" s="244">
        <f t="shared" si="0"/>
        <v>2866.73</v>
      </c>
    </row>
    <row r="24" spans="1:14">
      <c r="A24" s="262" t="s">
        <v>325</v>
      </c>
      <c r="B24" s="229"/>
      <c r="C24" s="245"/>
      <c r="D24" s="229"/>
      <c r="E24" s="245"/>
      <c r="F24" s="245"/>
      <c r="G24" s="245"/>
      <c r="H24" s="245"/>
      <c r="I24" s="245">
        <v>96</v>
      </c>
      <c r="J24" s="245"/>
      <c r="K24" s="245"/>
      <c r="L24" s="245"/>
      <c r="M24" s="245"/>
      <c r="N24" s="244">
        <f t="shared" si="0"/>
        <v>96</v>
      </c>
    </row>
    <row r="25" spans="1:14">
      <c r="A25" s="262" t="s">
        <v>334</v>
      </c>
      <c r="B25" s="229"/>
      <c r="C25" s="245"/>
      <c r="D25" s="229"/>
      <c r="E25" s="245"/>
      <c r="F25" s="245"/>
      <c r="G25" s="245"/>
      <c r="H25" s="245"/>
      <c r="I25" s="245">
        <v>460</v>
      </c>
      <c r="J25" s="245"/>
      <c r="K25" s="245"/>
      <c r="L25" s="245"/>
      <c r="M25" s="245"/>
      <c r="N25" s="244">
        <f t="shared" si="0"/>
        <v>460</v>
      </c>
    </row>
    <row r="26" spans="1:14">
      <c r="A26" s="262" t="s">
        <v>350</v>
      </c>
      <c r="B26" s="229"/>
      <c r="C26" s="245"/>
      <c r="D26" s="229"/>
      <c r="E26" s="245"/>
      <c r="F26" s="245"/>
      <c r="G26" s="245"/>
      <c r="H26" s="245"/>
      <c r="I26" s="245"/>
      <c r="J26" s="245">
        <v>29210</v>
      </c>
      <c r="K26" s="245"/>
      <c r="L26" s="245"/>
      <c r="M26" s="245"/>
      <c r="N26" s="244">
        <f t="shared" si="0"/>
        <v>29210</v>
      </c>
    </row>
    <row r="27" spans="1:14">
      <c r="A27" s="262" t="s">
        <v>351</v>
      </c>
      <c r="B27" s="229"/>
      <c r="C27" s="245"/>
      <c r="D27" s="229"/>
      <c r="E27" s="245"/>
      <c r="F27" s="245"/>
      <c r="G27" s="245"/>
      <c r="H27" s="245"/>
      <c r="I27" s="245"/>
      <c r="J27" s="245">
        <v>50600</v>
      </c>
      <c r="K27" s="245"/>
      <c r="L27" s="245"/>
      <c r="M27" s="245"/>
      <c r="N27" s="244">
        <f t="shared" si="0"/>
        <v>50600</v>
      </c>
    </row>
    <row r="28" spans="1:14">
      <c r="A28" s="262" t="s">
        <v>354</v>
      </c>
      <c r="B28" s="229"/>
      <c r="C28" s="245"/>
      <c r="D28" s="229"/>
      <c r="E28" s="245"/>
      <c r="F28" s="245"/>
      <c r="G28" s="245"/>
      <c r="H28" s="245"/>
      <c r="I28" s="245"/>
      <c r="J28" s="245">
        <v>1650</v>
      </c>
      <c r="K28" s="245"/>
      <c r="L28" s="245"/>
      <c r="M28" s="245"/>
      <c r="N28" s="244">
        <f t="shared" si="0"/>
        <v>1650</v>
      </c>
    </row>
    <row r="29" spans="1:14">
      <c r="A29" s="262" t="s">
        <v>366</v>
      </c>
      <c r="B29" s="229"/>
      <c r="C29" s="245"/>
      <c r="D29" s="229"/>
      <c r="E29" s="245"/>
      <c r="F29" s="245"/>
      <c r="G29" s="245"/>
      <c r="H29" s="245"/>
      <c r="I29" s="245"/>
      <c r="J29" s="245"/>
      <c r="K29" s="245">
        <f>400+450+2000+8200</f>
        <v>11050</v>
      </c>
      <c r="L29" s="245"/>
      <c r="M29" s="245"/>
      <c r="N29" s="244">
        <f t="shared" si="0"/>
        <v>11050</v>
      </c>
    </row>
    <row r="30" spans="1:14">
      <c r="A30" s="262"/>
      <c r="B30" s="229"/>
      <c r="C30" s="245"/>
      <c r="D30" s="229"/>
      <c r="E30" s="245"/>
      <c r="F30" s="245"/>
      <c r="G30" s="245"/>
      <c r="H30" s="245"/>
      <c r="I30" s="245"/>
      <c r="J30" s="245"/>
      <c r="K30" s="245"/>
      <c r="L30" s="245"/>
      <c r="M30" s="245"/>
      <c r="N30" s="244">
        <f t="shared" si="0"/>
        <v>0</v>
      </c>
    </row>
    <row r="31" spans="1:14">
      <c r="A31" s="262"/>
      <c r="B31" s="229"/>
      <c r="C31" s="245"/>
      <c r="D31" s="229"/>
      <c r="E31" s="245"/>
      <c r="F31" s="245"/>
      <c r="G31" s="245"/>
      <c r="H31" s="245"/>
      <c r="I31" s="245"/>
      <c r="J31" s="245"/>
      <c r="K31" s="245"/>
      <c r="L31" s="245"/>
      <c r="M31" s="245"/>
      <c r="N31" s="244">
        <f t="shared" si="0"/>
        <v>0</v>
      </c>
    </row>
    <row r="32" spans="1:14">
      <c r="A32" s="262"/>
      <c r="B32" s="229"/>
      <c r="C32" s="245"/>
      <c r="D32" s="229"/>
      <c r="E32" s="245"/>
      <c r="F32" s="245"/>
      <c r="G32" s="245"/>
      <c r="H32" s="245"/>
      <c r="I32" s="245"/>
      <c r="J32" s="245"/>
      <c r="K32" s="245"/>
      <c r="L32" s="245"/>
      <c r="M32" s="245"/>
      <c r="N32" s="244">
        <f t="shared" si="0"/>
        <v>0</v>
      </c>
    </row>
    <row r="33" spans="1:14">
      <c r="A33" s="262"/>
      <c r="B33" s="229"/>
      <c r="C33" s="245"/>
      <c r="D33" s="229"/>
      <c r="E33" s="245"/>
      <c r="F33" s="245"/>
      <c r="G33" s="245"/>
      <c r="H33" s="245"/>
      <c r="I33" s="245"/>
      <c r="J33" s="245"/>
      <c r="K33" s="245"/>
      <c r="L33" s="245"/>
      <c r="M33" s="245"/>
      <c r="N33" s="244">
        <f t="shared" si="0"/>
        <v>0</v>
      </c>
    </row>
    <row r="34" spans="1:14">
      <c r="A34" s="262"/>
      <c r="B34" s="229"/>
      <c r="C34" s="245"/>
      <c r="D34" s="229"/>
      <c r="E34" s="245"/>
      <c r="F34" s="245"/>
      <c r="G34" s="245"/>
      <c r="H34" s="245"/>
      <c r="I34" s="245"/>
      <c r="J34" s="245"/>
      <c r="K34" s="245"/>
      <c r="L34" s="245"/>
      <c r="M34" s="245"/>
      <c r="N34" s="244">
        <f t="shared" si="0"/>
        <v>0</v>
      </c>
    </row>
    <row r="35" spans="1:14">
      <c r="A35" s="262"/>
      <c r="B35" s="229"/>
      <c r="C35" s="245"/>
      <c r="D35" s="229"/>
      <c r="E35" s="245"/>
      <c r="F35" s="245"/>
      <c r="G35" s="245"/>
      <c r="H35" s="245"/>
      <c r="I35" s="245"/>
      <c r="J35" s="245"/>
      <c r="K35" s="245"/>
      <c r="L35" s="245"/>
      <c r="M35" s="245"/>
      <c r="N35" s="244">
        <f t="shared" si="0"/>
        <v>0</v>
      </c>
    </row>
    <row r="36" spans="1:14">
      <c r="A36" s="262"/>
      <c r="B36" s="229"/>
      <c r="C36" s="245"/>
      <c r="D36" s="229"/>
      <c r="E36" s="245"/>
      <c r="F36" s="245"/>
      <c r="G36" s="245"/>
      <c r="H36" s="245"/>
      <c r="I36" s="245"/>
      <c r="J36" s="245"/>
      <c r="K36" s="245"/>
      <c r="L36" s="245"/>
      <c r="M36" s="245"/>
      <c r="N36" s="244">
        <f t="shared" si="0"/>
        <v>0</v>
      </c>
    </row>
    <row r="37" spans="1:14">
      <c r="A37" s="262"/>
      <c r="B37" s="229"/>
      <c r="C37" s="245"/>
      <c r="D37" s="229"/>
      <c r="E37" s="245"/>
      <c r="F37" s="245"/>
      <c r="G37" s="245"/>
      <c r="H37" s="245"/>
      <c r="I37" s="245"/>
      <c r="J37" s="245"/>
      <c r="K37" s="245"/>
      <c r="L37" s="245"/>
      <c r="M37" s="245"/>
      <c r="N37" s="244">
        <f t="shared" si="0"/>
        <v>0</v>
      </c>
    </row>
    <row r="38" spans="1:14">
      <c r="A38" s="262"/>
      <c r="B38" s="229"/>
      <c r="C38" s="245"/>
      <c r="D38" s="229"/>
      <c r="E38" s="245"/>
      <c r="F38" s="245"/>
      <c r="G38" s="245"/>
      <c r="H38" s="245"/>
      <c r="I38" s="245"/>
      <c r="J38" s="245"/>
      <c r="K38" s="245"/>
      <c r="L38" s="245"/>
      <c r="M38" s="245"/>
      <c r="N38" s="244">
        <f t="shared" si="0"/>
        <v>0</v>
      </c>
    </row>
    <row r="39" spans="1:14">
      <c r="A39" s="262"/>
      <c r="B39" s="229"/>
      <c r="C39" s="245"/>
      <c r="D39" s="229"/>
      <c r="E39" s="245"/>
      <c r="F39" s="245"/>
      <c r="G39" s="245"/>
      <c r="H39" s="245"/>
      <c r="I39" s="245"/>
      <c r="J39" s="245"/>
      <c r="K39" s="245"/>
      <c r="L39" s="245"/>
      <c r="M39" s="245"/>
      <c r="N39" s="244">
        <f t="shared" si="0"/>
        <v>0</v>
      </c>
    </row>
    <row r="40" spans="1:14">
      <c r="A40" s="262"/>
      <c r="B40" s="229"/>
      <c r="C40" s="245"/>
      <c r="D40" s="229"/>
      <c r="E40" s="245"/>
      <c r="F40" s="245"/>
      <c r="G40" s="245"/>
      <c r="H40" s="245"/>
      <c r="I40" s="245"/>
      <c r="J40" s="245"/>
      <c r="K40" s="245"/>
      <c r="L40" s="245"/>
      <c r="M40" s="245"/>
      <c r="N40" s="244">
        <f t="shared" si="0"/>
        <v>0</v>
      </c>
    </row>
    <row r="41" spans="1:14">
      <c r="A41" s="262"/>
      <c r="B41" s="229"/>
      <c r="C41" s="245"/>
      <c r="D41" s="229"/>
      <c r="E41" s="245"/>
      <c r="F41" s="245"/>
      <c r="G41" s="245"/>
      <c r="H41" s="245"/>
      <c r="I41" s="245"/>
      <c r="J41" s="245"/>
      <c r="K41" s="245"/>
      <c r="L41" s="245"/>
      <c r="M41" s="245"/>
      <c r="N41" s="244">
        <f t="shared" si="0"/>
        <v>0</v>
      </c>
    </row>
    <row r="42" spans="1:14">
      <c r="A42" s="262"/>
      <c r="B42" s="229"/>
      <c r="C42" s="245"/>
      <c r="D42" s="229"/>
      <c r="E42" s="245"/>
      <c r="F42" s="245"/>
      <c r="G42" s="245"/>
      <c r="H42" s="245"/>
      <c r="I42" s="245"/>
      <c r="J42" s="245"/>
      <c r="K42" s="245"/>
      <c r="L42" s="245"/>
      <c r="M42" s="245"/>
      <c r="N42" s="244">
        <f t="shared" si="0"/>
        <v>0</v>
      </c>
    </row>
    <row r="43" spans="1:14">
      <c r="A43" s="262"/>
      <c r="B43" s="229"/>
      <c r="C43" s="245"/>
      <c r="D43" s="229"/>
      <c r="E43" s="245"/>
      <c r="F43" s="245"/>
      <c r="G43" s="245"/>
      <c r="H43" s="245"/>
      <c r="I43" s="245"/>
      <c r="J43" s="245"/>
      <c r="K43" s="245"/>
      <c r="L43" s="245"/>
      <c r="M43" s="245"/>
      <c r="N43" s="244">
        <f t="shared" si="0"/>
        <v>0</v>
      </c>
    </row>
    <row r="44" spans="1:14">
      <c r="A44" s="262"/>
      <c r="B44" s="229"/>
      <c r="C44" s="245"/>
      <c r="D44" s="229"/>
      <c r="E44" s="245"/>
      <c r="F44" s="245"/>
      <c r="G44" s="245"/>
      <c r="H44" s="245"/>
      <c r="I44" s="245"/>
      <c r="J44" s="245"/>
      <c r="K44" s="245"/>
      <c r="L44" s="245"/>
      <c r="M44" s="245"/>
      <c r="N44" s="244">
        <f t="shared" si="0"/>
        <v>0</v>
      </c>
    </row>
    <row r="45" spans="1:14">
      <c r="A45" s="249" t="s">
        <v>104</v>
      </c>
      <c r="B45" s="247">
        <f t="shared" ref="B45:M45" si="1">SUM(B4:B44)</f>
        <v>7978</v>
      </c>
      <c r="C45" s="247">
        <f t="shared" si="1"/>
        <v>33350</v>
      </c>
      <c r="D45" s="247">
        <f t="shared" si="1"/>
        <v>1300</v>
      </c>
      <c r="E45" s="247">
        <f t="shared" si="1"/>
        <v>0</v>
      </c>
      <c r="F45" s="247">
        <f t="shared" si="1"/>
        <v>111865</v>
      </c>
      <c r="G45" s="247">
        <f t="shared" si="1"/>
        <v>32420</v>
      </c>
      <c r="H45" s="247">
        <f t="shared" si="1"/>
        <v>9278</v>
      </c>
      <c r="I45" s="247">
        <f t="shared" si="1"/>
        <v>67665.959999999992</v>
      </c>
      <c r="J45" s="247">
        <f t="shared" si="1"/>
        <v>106863</v>
      </c>
      <c r="K45" s="247">
        <f t="shared" si="1"/>
        <v>24720</v>
      </c>
      <c r="L45" s="247">
        <f t="shared" si="1"/>
        <v>0</v>
      </c>
      <c r="M45" s="247">
        <f t="shared" si="1"/>
        <v>0</v>
      </c>
      <c r="N45" s="280">
        <f>SUM(N4:N44)</f>
        <v>395439.95999999996</v>
      </c>
    </row>
    <row r="47" spans="1:14">
      <c r="N47" s="255">
        <f>SUM(B45:M45)-N45</f>
        <v>0</v>
      </c>
    </row>
  </sheetData>
  <phoneticPr fontId="22" type="noConversion"/>
  <pageMargins left="0.25" right="0.25" top="0.75" bottom="0.75" header="0.3" footer="0.3"/>
  <pageSetup paperSize="9" scale="90" firstPageNumber="4294967295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1" tint="0.34998626667073579"/>
    <pageSetUpPr fitToPage="1"/>
  </sheetPr>
  <dimension ref="A1:N13"/>
  <sheetViews>
    <sheetView workbookViewId="0">
      <selection activeCell="B11" sqref="B11:C11"/>
    </sheetView>
  </sheetViews>
  <sheetFormatPr defaultRowHeight="15"/>
  <cols>
    <col min="1" max="1" width="23.28515625" bestFit="1" customWidth="1"/>
  </cols>
  <sheetData>
    <row r="1" spans="1:14">
      <c r="A1" s="249" t="s">
        <v>67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56"/>
      <c r="B3" s="224">
        <v>276954</v>
      </c>
      <c r="C3" s="224">
        <v>516693</v>
      </c>
      <c r="D3" s="224"/>
      <c r="E3" s="226"/>
      <c r="F3" s="224"/>
      <c r="G3" s="226"/>
      <c r="H3" s="224"/>
      <c r="I3" s="226"/>
      <c r="J3" s="224"/>
      <c r="K3" s="224"/>
      <c r="L3" s="224"/>
      <c r="M3" s="224"/>
      <c r="N3" s="224"/>
    </row>
    <row r="4" spans="1:14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3">
        <f t="shared" ref="N4:N10" si="0">SUM(B4:M4)</f>
        <v>0</v>
      </c>
    </row>
    <row r="5" spans="1:14">
      <c r="A5" s="271"/>
      <c r="B5" s="271"/>
      <c r="C5" s="281"/>
      <c r="D5" s="271"/>
      <c r="E5" s="219"/>
      <c r="F5" s="271"/>
      <c r="G5" s="271"/>
      <c r="H5" s="271"/>
      <c r="I5" s="271"/>
      <c r="J5" s="271"/>
      <c r="K5" s="271"/>
      <c r="L5" s="271"/>
      <c r="M5" s="271"/>
      <c r="N5" s="243">
        <f t="shared" si="0"/>
        <v>0</v>
      </c>
    </row>
    <row r="6" spans="1:14">
      <c r="A6" s="245"/>
      <c r="B6" s="245"/>
      <c r="C6" s="245"/>
      <c r="D6" s="245"/>
      <c r="E6" s="229"/>
      <c r="F6" s="245"/>
      <c r="G6" s="245"/>
      <c r="H6" s="245"/>
      <c r="I6" s="245"/>
      <c r="J6" s="245"/>
      <c r="K6" s="245"/>
      <c r="L6" s="245"/>
      <c r="M6" s="245"/>
      <c r="N6" s="243">
        <f t="shared" si="0"/>
        <v>0</v>
      </c>
    </row>
    <row r="7" spans="1:14">
      <c r="A7" s="245"/>
      <c r="B7" s="245"/>
      <c r="C7" s="245"/>
      <c r="D7" s="245"/>
      <c r="E7" s="229"/>
      <c r="F7" s="245"/>
      <c r="G7" s="245"/>
      <c r="H7" s="245"/>
      <c r="I7" s="245"/>
      <c r="J7" s="245"/>
      <c r="K7" s="245"/>
      <c r="L7" s="245"/>
      <c r="M7" s="245"/>
      <c r="N7" s="243">
        <f t="shared" si="0"/>
        <v>0</v>
      </c>
    </row>
    <row r="8" spans="1:14">
      <c r="A8" s="245"/>
      <c r="B8" s="245"/>
      <c r="C8" s="245"/>
      <c r="D8" s="245"/>
      <c r="E8" s="229"/>
      <c r="F8" s="245"/>
      <c r="G8" s="245"/>
      <c r="H8" s="245"/>
      <c r="I8" s="245"/>
      <c r="J8" s="245"/>
      <c r="K8" s="245"/>
      <c r="L8" s="245"/>
      <c r="M8" s="245"/>
      <c r="N8" s="243">
        <f t="shared" si="0"/>
        <v>0</v>
      </c>
    </row>
    <row r="9" spans="1:14">
      <c r="A9" s="262"/>
      <c r="B9" s="245"/>
      <c r="C9" s="245"/>
      <c r="D9" s="245"/>
      <c r="E9" s="229"/>
      <c r="F9" s="245"/>
      <c r="G9" s="246"/>
      <c r="H9" s="245"/>
      <c r="I9" s="246"/>
      <c r="J9" s="245"/>
      <c r="K9" s="245"/>
      <c r="L9" s="245"/>
      <c r="M9" s="245"/>
      <c r="N9" s="243">
        <f t="shared" si="0"/>
        <v>0</v>
      </c>
    </row>
    <row r="10" spans="1:14">
      <c r="A10" s="250"/>
      <c r="B10" s="276"/>
      <c r="C10" s="276"/>
      <c r="D10" s="276"/>
      <c r="E10" s="276"/>
      <c r="F10" s="276"/>
      <c r="G10" s="282"/>
      <c r="H10" s="276"/>
      <c r="I10" s="282"/>
      <c r="J10" s="276"/>
      <c r="K10" s="276"/>
      <c r="L10" s="276"/>
      <c r="M10" s="276"/>
      <c r="N10" s="243">
        <f t="shared" si="0"/>
        <v>0</v>
      </c>
    </row>
    <row r="11" spans="1:14">
      <c r="A11" s="249" t="s">
        <v>104</v>
      </c>
      <c r="B11" s="283">
        <f>SUM(B3:B10)</f>
        <v>276954</v>
      </c>
      <c r="C11" s="283">
        <f>SUM(C3:C10)</f>
        <v>516693</v>
      </c>
      <c r="D11" s="283">
        <f t="shared" ref="D11:M11" si="1">SUM(D4:D10)</f>
        <v>0</v>
      </c>
      <c r="E11" s="283">
        <f t="shared" si="1"/>
        <v>0</v>
      </c>
      <c r="F11" s="283">
        <f t="shared" si="1"/>
        <v>0</v>
      </c>
      <c r="G11" s="283">
        <f t="shared" si="1"/>
        <v>0</v>
      </c>
      <c r="H11" s="283">
        <f t="shared" si="1"/>
        <v>0</v>
      </c>
      <c r="I11" s="283">
        <f t="shared" si="1"/>
        <v>0</v>
      </c>
      <c r="J11" s="283">
        <f t="shared" si="1"/>
        <v>0</v>
      </c>
      <c r="K11" s="283">
        <f t="shared" si="1"/>
        <v>0</v>
      </c>
      <c r="L11" s="283">
        <f t="shared" si="1"/>
        <v>0</v>
      </c>
      <c r="M11" s="283">
        <f t="shared" si="1"/>
        <v>0</v>
      </c>
      <c r="N11" s="284">
        <f>SUM(B11:M11)</f>
        <v>793647</v>
      </c>
    </row>
    <row r="13" spans="1:14">
      <c r="N13" s="255">
        <f>SUM(B11:M11)-N11</f>
        <v>0</v>
      </c>
    </row>
  </sheetData>
  <phoneticPr fontId="22" type="noConversion"/>
  <pageMargins left="0.25" right="0.25" top="0.75" bottom="0.75" header="0.3" footer="0.3"/>
  <pageSetup paperSize="9" firstPageNumber="4294967295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N64"/>
  <sheetViews>
    <sheetView topLeftCell="A37" workbookViewId="0">
      <selection activeCell="B54" sqref="B54"/>
    </sheetView>
  </sheetViews>
  <sheetFormatPr defaultRowHeight="15"/>
  <cols>
    <col min="1" max="1" width="29.85546875" style="95" bestFit="1" customWidth="1"/>
    <col min="2" max="2" width="10.28515625" style="1" customWidth="1"/>
    <col min="3" max="3" width="10.5703125" style="1" customWidth="1"/>
    <col min="4" max="4" width="12" style="1" customWidth="1"/>
    <col min="5" max="5" width="10.5703125" style="1" customWidth="1"/>
    <col min="6" max="7" width="9.140625" style="1"/>
    <col min="8" max="8" width="10.42578125" style="1" bestFit="1" customWidth="1"/>
    <col min="9" max="14" width="9.140625" style="1"/>
  </cols>
  <sheetData>
    <row r="1" spans="1:14">
      <c r="A1" s="214" t="s">
        <v>160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5"/>
      <c r="I1" s="215"/>
      <c r="J1" s="215"/>
      <c r="K1" s="215"/>
      <c r="L1" s="215"/>
      <c r="M1" s="215"/>
      <c r="N1" s="220"/>
    </row>
    <row r="2" spans="1:14">
      <c r="A2" s="218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19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>
      <c r="A3" s="223" t="s">
        <v>161</v>
      </c>
      <c r="B3" s="229">
        <f>4708+941</f>
        <v>5649</v>
      </c>
      <c r="C3" s="229">
        <f>864+945</f>
        <v>1809</v>
      </c>
      <c r="D3" s="229">
        <v>4725</v>
      </c>
      <c r="E3" s="229">
        <v>945</v>
      </c>
      <c r="F3" s="229"/>
      <c r="G3" s="229">
        <v>941.6</v>
      </c>
      <c r="H3" s="229"/>
      <c r="I3" s="229"/>
      <c r="J3" s="229"/>
      <c r="K3" s="229"/>
      <c r="L3" s="229"/>
      <c r="M3" s="229"/>
      <c r="N3" s="224">
        <f t="shared" ref="N3:N61" si="0">SUM(B3:M3)</f>
        <v>14069.6</v>
      </c>
    </row>
    <row r="4" spans="1:14">
      <c r="A4" s="223" t="s">
        <v>162</v>
      </c>
      <c r="B4" s="229"/>
      <c r="C4" s="229"/>
      <c r="D4" s="229"/>
      <c r="E4" s="229"/>
      <c r="F4" s="229"/>
      <c r="G4" s="229">
        <v>2339.1</v>
      </c>
      <c r="H4" s="229">
        <v>2644</v>
      </c>
      <c r="I4" s="229"/>
      <c r="J4" s="229"/>
      <c r="K4" s="229"/>
      <c r="L4" s="229"/>
      <c r="M4" s="229"/>
      <c r="N4" s="224">
        <f t="shared" si="0"/>
        <v>4983.1000000000004</v>
      </c>
    </row>
    <row r="5" spans="1:14">
      <c r="A5" s="223" t="s">
        <v>163</v>
      </c>
      <c r="B5" s="229"/>
      <c r="C5" s="229"/>
      <c r="D5" s="229"/>
      <c r="E5" s="229"/>
      <c r="F5" s="229"/>
      <c r="G5" s="229"/>
      <c r="H5" s="229">
        <v>11451.73</v>
      </c>
      <c r="I5" s="229"/>
      <c r="J5" s="229"/>
      <c r="K5" s="229"/>
      <c r="L5" s="229"/>
      <c r="M5" s="229"/>
      <c r="N5" s="224">
        <f t="shared" si="0"/>
        <v>11451.73</v>
      </c>
    </row>
    <row r="6" spans="1:14">
      <c r="A6" s="234" t="s">
        <v>164</v>
      </c>
      <c r="B6" s="229">
        <v>830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4">
        <f t="shared" si="0"/>
        <v>830</v>
      </c>
    </row>
    <row r="7" spans="1:14">
      <c r="A7" s="234" t="s">
        <v>165</v>
      </c>
      <c r="B7" s="229">
        <v>2600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4">
        <f t="shared" si="0"/>
        <v>2600</v>
      </c>
    </row>
    <row r="8" spans="1:14">
      <c r="A8" s="234" t="s">
        <v>166</v>
      </c>
      <c r="B8" s="229">
        <v>5998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4">
        <f t="shared" si="0"/>
        <v>5998</v>
      </c>
    </row>
    <row r="9" spans="1:14">
      <c r="A9" s="234" t="s">
        <v>167</v>
      </c>
      <c r="B9" s="229">
        <v>1411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4">
        <f t="shared" si="0"/>
        <v>1411</v>
      </c>
    </row>
    <row r="10" spans="1:14" ht="26.25">
      <c r="A10" s="234" t="s">
        <v>168</v>
      </c>
      <c r="B10" s="229">
        <v>5400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4">
        <f t="shared" si="0"/>
        <v>5400</v>
      </c>
    </row>
    <row r="11" spans="1:14" ht="26.25">
      <c r="A11" s="234" t="s">
        <v>169</v>
      </c>
      <c r="B11" s="229">
        <v>1302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4">
        <f t="shared" si="0"/>
        <v>1302</v>
      </c>
    </row>
    <row r="12" spans="1:14">
      <c r="A12" s="234" t="s">
        <v>177</v>
      </c>
      <c r="B12" s="229"/>
      <c r="C12" s="229">
        <v>4800</v>
      </c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4">
        <f t="shared" si="0"/>
        <v>4800</v>
      </c>
    </row>
    <row r="13" spans="1:14">
      <c r="A13" s="232" t="s">
        <v>183</v>
      </c>
      <c r="B13" s="229"/>
      <c r="C13" s="229">
        <v>113</v>
      </c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4">
        <f t="shared" si="0"/>
        <v>113</v>
      </c>
    </row>
    <row r="14" spans="1:14">
      <c r="A14" s="232" t="s">
        <v>187</v>
      </c>
      <c r="B14" s="229"/>
      <c r="C14" s="229">
        <v>1360</v>
      </c>
      <c r="D14" s="229"/>
      <c r="E14" s="245"/>
      <c r="F14" s="245"/>
      <c r="G14" s="245"/>
      <c r="H14" s="245"/>
      <c r="I14" s="245"/>
      <c r="J14" s="245"/>
      <c r="K14" s="245"/>
      <c r="L14" s="245"/>
      <c r="M14" s="245"/>
      <c r="N14" s="224">
        <f t="shared" si="0"/>
        <v>1360</v>
      </c>
    </row>
    <row r="15" spans="1:14" ht="26.25">
      <c r="A15" s="234" t="s">
        <v>188</v>
      </c>
      <c r="B15" s="229"/>
      <c r="C15" s="229">
        <v>1043</v>
      </c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4">
        <f t="shared" si="0"/>
        <v>1043</v>
      </c>
    </row>
    <row r="16" spans="1:14">
      <c r="A16" s="234" t="s">
        <v>189</v>
      </c>
      <c r="B16" s="229"/>
      <c r="C16" s="229">
        <f>4690</f>
        <v>4690</v>
      </c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4">
        <f t="shared" si="0"/>
        <v>4690</v>
      </c>
    </row>
    <row r="17" spans="1:14">
      <c r="A17" s="234" t="s">
        <v>190</v>
      </c>
      <c r="B17" s="229"/>
      <c r="C17" s="229">
        <v>312</v>
      </c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4">
        <f t="shared" si="0"/>
        <v>312</v>
      </c>
    </row>
    <row r="18" spans="1:14">
      <c r="A18" s="234" t="s">
        <v>191</v>
      </c>
      <c r="B18" s="229"/>
      <c r="C18" s="229">
        <v>580</v>
      </c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4">
        <f t="shared" si="0"/>
        <v>580</v>
      </c>
    </row>
    <row r="19" spans="1:14" ht="26.25">
      <c r="A19" s="234" t="s">
        <v>192</v>
      </c>
      <c r="B19" s="229"/>
      <c r="C19" s="229">
        <v>10095</v>
      </c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4">
        <f t="shared" si="0"/>
        <v>10095</v>
      </c>
    </row>
    <row r="20" spans="1:14">
      <c r="A20" s="278" t="s">
        <v>193</v>
      </c>
      <c r="B20" s="229"/>
      <c r="C20" s="229">
        <v>2000</v>
      </c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4">
        <f t="shared" si="0"/>
        <v>2000</v>
      </c>
    </row>
    <row r="21" spans="1:14">
      <c r="A21" s="278" t="s">
        <v>194</v>
      </c>
      <c r="B21" s="229"/>
      <c r="C21" s="229">
        <v>1670</v>
      </c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4">
        <f t="shared" si="0"/>
        <v>1670</v>
      </c>
    </row>
    <row r="22" spans="1:14">
      <c r="A22" s="234" t="s">
        <v>189</v>
      </c>
      <c r="B22" s="229"/>
      <c r="C22" s="229">
        <f>4210-2000</f>
        <v>2210</v>
      </c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4">
        <f t="shared" si="0"/>
        <v>2210</v>
      </c>
    </row>
    <row r="23" spans="1:14">
      <c r="A23" s="278" t="s">
        <v>199</v>
      </c>
      <c r="B23" s="229"/>
      <c r="C23" s="229">
        <v>1281</v>
      </c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4">
        <f t="shared" si="0"/>
        <v>1281</v>
      </c>
    </row>
    <row r="24" spans="1:14">
      <c r="A24" s="278" t="s">
        <v>200</v>
      </c>
      <c r="B24" s="229"/>
      <c r="C24" s="229">
        <v>2500</v>
      </c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4">
        <f t="shared" si="0"/>
        <v>2500</v>
      </c>
    </row>
    <row r="25" spans="1:14">
      <c r="A25" s="278" t="s">
        <v>215</v>
      </c>
      <c r="B25" s="229"/>
      <c r="C25" s="229"/>
      <c r="D25" s="229">
        <v>450</v>
      </c>
      <c r="E25" s="229"/>
      <c r="F25" s="229"/>
      <c r="G25" s="229"/>
      <c r="H25" s="229"/>
      <c r="I25" s="229"/>
      <c r="J25" s="229"/>
      <c r="K25" s="229"/>
      <c r="L25" s="229"/>
      <c r="M25" s="229"/>
      <c r="N25" s="224">
        <f t="shared" si="0"/>
        <v>450</v>
      </c>
    </row>
    <row r="26" spans="1:14">
      <c r="A26" s="278" t="s">
        <v>216</v>
      </c>
      <c r="B26" s="219"/>
      <c r="C26" s="219"/>
      <c r="D26" s="219">
        <v>160</v>
      </c>
      <c r="E26" s="221"/>
      <c r="F26" s="219"/>
      <c r="G26" s="221"/>
      <c r="H26" s="219"/>
      <c r="I26" s="221"/>
      <c r="J26" s="219"/>
      <c r="K26" s="219"/>
      <c r="L26" s="219"/>
      <c r="M26" s="219"/>
      <c r="N26" s="245">
        <f>SUM(B26:M26)</f>
        <v>160</v>
      </c>
    </row>
    <row r="27" spans="1:14">
      <c r="A27" s="278" t="s">
        <v>222</v>
      </c>
      <c r="B27" s="229"/>
      <c r="C27" s="229"/>
      <c r="D27" s="229">
        <f>2985+2700</f>
        <v>5685</v>
      </c>
      <c r="E27" s="229"/>
      <c r="F27" s="229"/>
      <c r="G27" s="229"/>
      <c r="H27" s="229"/>
      <c r="I27" s="229"/>
      <c r="J27" s="229"/>
      <c r="K27" s="229"/>
      <c r="L27" s="229"/>
      <c r="M27" s="229"/>
      <c r="N27" s="224">
        <f t="shared" si="0"/>
        <v>5685</v>
      </c>
    </row>
    <row r="28" spans="1:14">
      <c r="A28" s="278" t="s">
        <v>223</v>
      </c>
      <c r="B28" s="229"/>
      <c r="C28" s="229"/>
      <c r="D28" s="229">
        <v>180</v>
      </c>
      <c r="E28" s="229"/>
      <c r="F28" s="229"/>
      <c r="G28" s="229"/>
      <c r="H28" s="229"/>
      <c r="I28" s="229"/>
      <c r="J28" s="229"/>
      <c r="K28" s="229"/>
      <c r="L28" s="229"/>
      <c r="M28" s="229"/>
      <c r="N28" s="224">
        <f t="shared" si="0"/>
        <v>180</v>
      </c>
    </row>
    <row r="29" spans="1:14">
      <c r="A29" s="278" t="s">
        <v>237</v>
      </c>
      <c r="B29" s="229"/>
      <c r="C29" s="229"/>
      <c r="D29" s="229"/>
      <c r="E29" s="229">
        <v>2820.49</v>
      </c>
      <c r="F29" s="229"/>
      <c r="G29" s="229"/>
      <c r="H29" s="229"/>
      <c r="I29" s="229"/>
      <c r="J29" s="229"/>
      <c r="K29" s="229"/>
      <c r="L29" s="229"/>
      <c r="M29" s="229"/>
      <c r="N29" s="224">
        <f t="shared" si="0"/>
        <v>2820.49</v>
      </c>
    </row>
    <row r="30" spans="1:14">
      <c r="A30" s="278" t="s">
        <v>239</v>
      </c>
      <c r="B30" s="229"/>
      <c r="C30" s="229"/>
      <c r="D30" s="229"/>
      <c r="E30" s="229">
        <v>870</v>
      </c>
      <c r="F30" s="229"/>
      <c r="G30" s="229"/>
      <c r="H30" s="229"/>
      <c r="I30" s="229"/>
      <c r="J30" s="229"/>
      <c r="K30" s="229"/>
      <c r="L30" s="229"/>
      <c r="M30" s="229"/>
      <c r="N30" s="224">
        <f t="shared" si="0"/>
        <v>870</v>
      </c>
    </row>
    <row r="31" spans="1:14">
      <c r="A31" s="278" t="s">
        <v>240</v>
      </c>
      <c r="B31" s="229"/>
      <c r="C31" s="229"/>
      <c r="D31" s="229"/>
      <c r="E31" s="229">
        <v>290</v>
      </c>
      <c r="F31" s="229"/>
      <c r="G31" s="229"/>
      <c r="H31" s="229"/>
      <c r="I31" s="229"/>
      <c r="J31" s="229"/>
      <c r="K31" s="229"/>
      <c r="L31" s="229"/>
      <c r="M31" s="229"/>
      <c r="N31" s="224">
        <f t="shared" si="0"/>
        <v>290</v>
      </c>
    </row>
    <row r="32" spans="1:14">
      <c r="A32" s="278" t="s">
        <v>241</v>
      </c>
      <c r="B32" s="229"/>
      <c r="C32" s="229"/>
      <c r="D32" s="229"/>
      <c r="E32" s="229">
        <v>496</v>
      </c>
      <c r="F32" s="229"/>
      <c r="G32" s="229"/>
      <c r="H32" s="229"/>
      <c r="I32" s="229"/>
      <c r="J32" s="229"/>
      <c r="K32" s="229"/>
      <c r="L32" s="229"/>
      <c r="M32" s="229"/>
      <c r="N32" s="224">
        <f t="shared" si="0"/>
        <v>496</v>
      </c>
    </row>
    <row r="33" spans="1:14">
      <c r="A33" s="278" t="s">
        <v>242</v>
      </c>
      <c r="B33" s="229"/>
      <c r="C33" s="229"/>
      <c r="D33" s="229"/>
      <c r="E33" s="229">
        <v>120</v>
      </c>
      <c r="F33" s="229"/>
      <c r="G33" s="229"/>
      <c r="H33" s="229"/>
      <c r="I33" s="229"/>
      <c r="J33" s="229"/>
      <c r="K33" s="229"/>
      <c r="L33" s="229"/>
      <c r="M33" s="229"/>
      <c r="N33" s="224">
        <f t="shared" ref="N33:N60" si="1">SUM(B33:M33)</f>
        <v>120</v>
      </c>
    </row>
    <row r="34" spans="1:14">
      <c r="A34" s="278" t="s">
        <v>243</v>
      </c>
      <c r="B34" s="229"/>
      <c r="C34" s="229"/>
      <c r="D34" s="229"/>
      <c r="E34" s="229">
        <v>200</v>
      </c>
      <c r="F34" s="229"/>
      <c r="G34" s="229"/>
      <c r="H34" s="229"/>
      <c r="I34" s="229"/>
      <c r="J34" s="229"/>
      <c r="K34" s="229"/>
      <c r="L34" s="229"/>
      <c r="M34" s="229"/>
      <c r="N34" s="224">
        <f t="shared" si="1"/>
        <v>200</v>
      </c>
    </row>
    <row r="35" spans="1:14">
      <c r="A35" s="278" t="s">
        <v>244</v>
      </c>
      <c r="B35" s="229"/>
      <c r="C35" s="229"/>
      <c r="D35" s="229"/>
      <c r="E35" s="229">
        <v>120</v>
      </c>
      <c r="F35" s="229"/>
      <c r="G35" s="229"/>
      <c r="H35" s="229"/>
      <c r="I35" s="229"/>
      <c r="J35" s="229"/>
      <c r="K35" s="229"/>
      <c r="L35" s="229"/>
      <c r="M35" s="229"/>
      <c r="N35" s="224">
        <f t="shared" si="1"/>
        <v>120</v>
      </c>
    </row>
    <row r="36" spans="1:14">
      <c r="A36" s="278" t="s">
        <v>245</v>
      </c>
      <c r="B36" s="229"/>
      <c r="C36" s="229"/>
      <c r="D36" s="229"/>
      <c r="E36" s="229">
        <v>270</v>
      </c>
      <c r="F36" s="229"/>
      <c r="G36" s="229"/>
      <c r="H36" s="229"/>
      <c r="I36" s="229"/>
      <c r="J36" s="229"/>
      <c r="K36" s="229"/>
      <c r="L36" s="229"/>
      <c r="M36" s="229"/>
      <c r="N36" s="224">
        <f t="shared" si="1"/>
        <v>270</v>
      </c>
    </row>
    <row r="37" spans="1:14">
      <c r="A37" s="278" t="s">
        <v>262</v>
      </c>
      <c r="B37" s="229"/>
      <c r="C37" s="229"/>
      <c r="D37" s="229"/>
      <c r="E37" s="229"/>
      <c r="F37" s="229">
        <v>14000</v>
      </c>
      <c r="G37" s="229"/>
      <c r="H37" s="229"/>
      <c r="I37" s="229"/>
      <c r="J37" s="229"/>
      <c r="K37" s="229"/>
      <c r="L37" s="229"/>
      <c r="M37" s="229"/>
      <c r="N37" s="224">
        <f t="shared" si="1"/>
        <v>14000</v>
      </c>
    </row>
    <row r="38" spans="1:14">
      <c r="A38" s="278" t="s">
        <v>265</v>
      </c>
      <c r="B38" s="229"/>
      <c r="C38" s="229"/>
      <c r="D38" s="229"/>
      <c r="E38" s="229"/>
      <c r="F38" s="229">
        <v>470</v>
      </c>
      <c r="G38" s="229"/>
      <c r="H38" s="229"/>
      <c r="I38" s="229"/>
      <c r="J38" s="229"/>
      <c r="K38" s="229"/>
      <c r="L38" s="229"/>
      <c r="M38" s="229"/>
      <c r="N38" s="224">
        <f t="shared" si="1"/>
        <v>470</v>
      </c>
    </row>
    <row r="39" spans="1:14">
      <c r="A39" s="278" t="s">
        <v>268</v>
      </c>
      <c r="B39" s="229"/>
      <c r="C39" s="229"/>
      <c r="D39" s="229"/>
      <c r="E39" s="229"/>
      <c r="F39" s="229">
        <v>450</v>
      </c>
      <c r="G39" s="229"/>
      <c r="H39" s="229"/>
      <c r="I39" s="229"/>
      <c r="J39" s="229"/>
      <c r="K39" s="229"/>
      <c r="L39" s="229"/>
      <c r="M39" s="229"/>
      <c r="N39" s="224">
        <f t="shared" si="1"/>
        <v>450</v>
      </c>
    </row>
    <row r="40" spans="1:14">
      <c r="A40" s="278" t="s">
        <v>269</v>
      </c>
      <c r="B40" s="229"/>
      <c r="C40" s="229"/>
      <c r="D40" s="229"/>
      <c r="E40" s="229"/>
      <c r="F40" s="229">
        <v>500</v>
      </c>
      <c r="G40" s="229"/>
      <c r="H40" s="229"/>
      <c r="I40" s="229"/>
      <c r="J40" s="229"/>
      <c r="K40" s="229"/>
      <c r="L40" s="229"/>
      <c r="M40" s="229"/>
      <c r="N40" s="224">
        <f t="shared" si="1"/>
        <v>500</v>
      </c>
    </row>
    <row r="41" spans="1:14">
      <c r="A41" s="278" t="s">
        <v>200</v>
      </c>
      <c r="B41" s="229"/>
      <c r="C41" s="229"/>
      <c r="D41" s="229"/>
      <c r="E41" s="229"/>
      <c r="F41" s="229">
        <v>3000</v>
      </c>
      <c r="G41" s="229"/>
      <c r="H41" s="229"/>
      <c r="I41" s="229"/>
      <c r="J41" s="229"/>
      <c r="K41" s="229"/>
      <c r="L41" s="229"/>
      <c r="M41" s="229"/>
      <c r="N41" s="224">
        <f t="shared" si="1"/>
        <v>3000</v>
      </c>
    </row>
    <row r="42" spans="1:14">
      <c r="A42" s="278" t="s">
        <v>297</v>
      </c>
      <c r="B42" s="229"/>
      <c r="C42" s="229"/>
      <c r="D42" s="229"/>
      <c r="E42" s="229"/>
      <c r="F42" s="229"/>
      <c r="G42" s="229">
        <v>400</v>
      </c>
      <c r="H42" s="229"/>
      <c r="I42" s="229"/>
      <c r="J42" s="229"/>
      <c r="K42" s="229"/>
      <c r="L42" s="229"/>
      <c r="M42" s="229"/>
      <c r="N42" s="224">
        <f t="shared" si="1"/>
        <v>400</v>
      </c>
    </row>
    <row r="43" spans="1:14">
      <c r="A43" s="278" t="s">
        <v>298</v>
      </c>
      <c r="B43" s="229"/>
      <c r="C43" s="229"/>
      <c r="D43" s="229"/>
      <c r="E43" s="229"/>
      <c r="F43" s="229"/>
      <c r="G43" s="229">
        <v>240</v>
      </c>
      <c r="H43" s="229"/>
      <c r="I43" s="229"/>
      <c r="J43" s="229"/>
      <c r="K43" s="229"/>
      <c r="L43" s="229"/>
      <c r="M43" s="229"/>
      <c r="N43" s="224">
        <f t="shared" si="1"/>
        <v>240</v>
      </c>
    </row>
    <row r="44" spans="1:14">
      <c r="A44" s="278" t="s">
        <v>299</v>
      </c>
      <c r="B44" s="229"/>
      <c r="C44" s="229"/>
      <c r="D44" s="229"/>
      <c r="E44" s="229"/>
      <c r="F44" s="229"/>
      <c r="G44" s="229">
        <v>600</v>
      </c>
      <c r="H44" s="229"/>
      <c r="I44" s="229"/>
      <c r="J44" s="229"/>
      <c r="K44" s="229"/>
      <c r="L44" s="229"/>
      <c r="M44" s="229"/>
      <c r="N44" s="224">
        <f t="shared" si="1"/>
        <v>600</v>
      </c>
    </row>
    <row r="45" spans="1:14">
      <c r="A45" s="278" t="s">
        <v>306</v>
      </c>
      <c r="B45" s="229"/>
      <c r="C45" s="229"/>
      <c r="D45" s="229"/>
      <c r="E45" s="229"/>
      <c r="F45" s="229"/>
      <c r="G45" s="229"/>
      <c r="H45" s="229">
        <f>3627+12140</f>
        <v>15767</v>
      </c>
      <c r="I45" s="229"/>
      <c r="J45" s="229"/>
      <c r="K45" s="229"/>
      <c r="L45" s="229"/>
      <c r="M45" s="229"/>
      <c r="N45" s="224">
        <f t="shared" si="1"/>
        <v>15767</v>
      </c>
    </row>
    <row r="46" spans="1:14">
      <c r="A46" s="278" t="s">
        <v>323</v>
      </c>
      <c r="B46" s="229"/>
      <c r="C46" s="229"/>
      <c r="D46" s="229"/>
      <c r="E46" s="229"/>
      <c r="F46" s="229"/>
      <c r="G46" s="229"/>
      <c r="H46" s="229"/>
      <c r="I46" s="229">
        <v>381</v>
      </c>
      <c r="J46" s="229"/>
      <c r="K46" s="229"/>
      <c r="L46" s="229"/>
      <c r="M46" s="229"/>
      <c r="N46" s="224">
        <f t="shared" si="1"/>
        <v>381</v>
      </c>
    </row>
    <row r="47" spans="1:14">
      <c r="A47" s="278"/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4">
        <f t="shared" si="1"/>
        <v>0</v>
      </c>
    </row>
    <row r="48" spans="1:14">
      <c r="A48" s="278"/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4">
        <f t="shared" si="1"/>
        <v>0</v>
      </c>
    </row>
    <row r="49" spans="1:14">
      <c r="A49" s="278"/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4">
        <f t="shared" si="1"/>
        <v>0</v>
      </c>
    </row>
    <row r="50" spans="1:14">
      <c r="A50" s="27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4">
        <f t="shared" si="1"/>
        <v>0</v>
      </c>
    </row>
    <row r="51" spans="1:14">
      <c r="A51" s="278"/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4">
        <f t="shared" si="1"/>
        <v>0</v>
      </c>
    </row>
    <row r="52" spans="1:14">
      <c r="A52" s="278"/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4">
        <f t="shared" si="1"/>
        <v>0</v>
      </c>
    </row>
    <row r="53" spans="1:14">
      <c r="A53" s="278"/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4">
        <f t="shared" si="1"/>
        <v>0</v>
      </c>
    </row>
    <row r="54" spans="1:14">
      <c r="A54" s="278"/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4">
        <f t="shared" si="1"/>
        <v>0</v>
      </c>
    </row>
    <row r="55" spans="1:14">
      <c r="A55" s="278"/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4">
        <f t="shared" si="1"/>
        <v>0</v>
      </c>
    </row>
    <row r="56" spans="1:14">
      <c r="A56" s="278"/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4">
        <f t="shared" si="1"/>
        <v>0</v>
      </c>
    </row>
    <row r="57" spans="1:14">
      <c r="A57" s="278"/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4">
        <f t="shared" si="1"/>
        <v>0</v>
      </c>
    </row>
    <row r="58" spans="1:14">
      <c r="A58" s="278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4">
        <f t="shared" si="1"/>
        <v>0</v>
      </c>
    </row>
    <row r="59" spans="1:14">
      <c r="A59" s="278"/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4">
        <f t="shared" si="1"/>
        <v>0</v>
      </c>
    </row>
    <row r="60" spans="1:14">
      <c r="A60" s="278"/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4">
        <f t="shared" si="1"/>
        <v>0</v>
      </c>
    </row>
    <row r="61" spans="1:14">
      <c r="A61" s="278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4">
        <f t="shared" si="0"/>
        <v>0</v>
      </c>
    </row>
    <row r="62" spans="1:14">
      <c r="A62" s="214" t="s">
        <v>104</v>
      </c>
      <c r="B62" s="285">
        <f t="shared" ref="B62:M62" si="2">SUM(B3:B61)</f>
        <v>23190</v>
      </c>
      <c r="C62" s="285">
        <f t="shared" si="2"/>
        <v>34463</v>
      </c>
      <c r="D62" s="285">
        <f t="shared" si="2"/>
        <v>11200</v>
      </c>
      <c r="E62" s="285">
        <f t="shared" si="2"/>
        <v>6131.49</v>
      </c>
      <c r="F62" s="285">
        <f t="shared" si="2"/>
        <v>18420</v>
      </c>
      <c r="G62" s="285">
        <f t="shared" si="2"/>
        <v>4520.7</v>
      </c>
      <c r="H62" s="285">
        <f t="shared" si="2"/>
        <v>29862.73</v>
      </c>
      <c r="I62" s="285">
        <f t="shared" si="2"/>
        <v>381</v>
      </c>
      <c r="J62" s="285">
        <f t="shared" si="2"/>
        <v>0</v>
      </c>
      <c r="K62" s="285">
        <f t="shared" si="2"/>
        <v>0</v>
      </c>
      <c r="L62" s="285">
        <f t="shared" si="2"/>
        <v>0</v>
      </c>
      <c r="M62" s="285">
        <f t="shared" si="2"/>
        <v>0</v>
      </c>
      <c r="N62" s="285">
        <f>SUM(N3:N61)</f>
        <v>128168.92</v>
      </c>
    </row>
    <row r="64" spans="1:14">
      <c r="N64" s="255">
        <f>SUM(B62:M62)-N62</f>
        <v>0</v>
      </c>
    </row>
  </sheetData>
  <phoneticPr fontId="22" type="noConversion"/>
  <pageMargins left="0.25" right="0.25" top="0.75" bottom="0.75" header="0.3" footer="0.3"/>
  <pageSetup paperSize="9" scale="88" firstPageNumber="4294967295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68"/>
  <sheetViews>
    <sheetView workbookViewId="0">
      <selection activeCell="A29" sqref="A29"/>
    </sheetView>
  </sheetViews>
  <sheetFormatPr defaultRowHeight="15"/>
  <cols>
    <col min="1" max="1" width="34.42578125" customWidth="1"/>
    <col min="2" max="2" width="9.7109375" customWidth="1"/>
    <col min="3" max="4" width="10.28515625" bestFit="1" customWidth="1"/>
    <col min="5" max="5" width="12.85546875" bestFit="1" customWidth="1"/>
    <col min="6" max="6" width="10.28515625" bestFit="1" customWidth="1"/>
    <col min="8" max="9" width="10.28515625" bestFit="1" customWidth="1"/>
    <col min="12" max="12" width="9.28515625" bestFit="1" customWidth="1"/>
    <col min="14" max="14" width="12.85546875" bestFit="1" customWidth="1"/>
    <col min="18" max="18" width="10.28515625" bestFit="1" customWidth="1"/>
  </cols>
  <sheetData>
    <row r="1" spans="1:18">
      <c r="A1" s="249" t="s">
        <v>170</v>
      </c>
      <c r="B1" s="256"/>
      <c r="C1" s="256"/>
      <c r="D1" s="256"/>
      <c r="E1" s="256"/>
      <c r="F1" s="249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8">
      <c r="A2" s="250"/>
      <c r="B2" s="286" t="s">
        <v>4</v>
      </c>
      <c r="C2" s="286" t="s">
        <v>5</v>
      </c>
      <c r="D2" s="286" t="s">
        <v>6</v>
      </c>
      <c r="E2" s="286" t="s">
        <v>7</v>
      </c>
      <c r="F2" s="286" t="s">
        <v>8</v>
      </c>
      <c r="G2" s="286" t="s">
        <v>9</v>
      </c>
      <c r="H2" s="271" t="s">
        <v>14</v>
      </c>
      <c r="I2" s="272" t="s">
        <v>15</v>
      </c>
      <c r="J2" s="271" t="s">
        <v>16</v>
      </c>
      <c r="K2" s="271" t="s">
        <v>17</v>
      </c>
      <c r="L2" s="271" t="s">
        <v>18</v>
      </c>
      <c r="M2" s="271" t="s">
        <v>19</v>
      </c>
      <c r="N2" s="245"/>
    </row>
    <row r="3" spans="1:18">
      <c r="A3" s="262" t="s">
        <v>171</v>
      </c>
      <c r="B3" s="240">
        <v>50000</v>
      </c>
      <c r="C3" s="287"/>
      <c r="D3" s="240"/>
      <c r="E3" s="287"/>
      <c r="F3" s="287"/>
      <c r="G3" s="287"/>
      <c r="H3" s="287">
        <v>50000</v>
      </c>
      <c r="I3" s="287"/>
      <c r="J3" s="287"/>
      <c r="K3" s="287"/>
      <c r="L3" s="287"/>
      <c r="M3" s="287"/>
      <c r="N3" s="288">
        <f t="shared" ref="N3:N34" si="0">SUM(B3:M3)</f>
        <v>100000</v>
      </c>
    </row>
    <row r="4" spans="1:18">
      <c r="A4" s="256" t="s">
        <v>201</v>
      </c>
      <c r="B4" s="240"/>
      <c r="C4" s="240">
        <v>106408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89">
        <f t="shared" si="0"/>
        <v>106408</v>
      </c>
    </row>
    <row r="5" spans="1:18">
      <c r="A5" s="374" t="s">
        <v>173</v>
      </c>
      <c r="B5" s="287"/>
      <c r="C5" s="240"/>
      <c r="D5" s="287">
        <v>90000</v>
      </c>
      <c r="E5" s="288"/>
      <c r="F5" s="240"/>
      <c r="G5" s="290"/>
      <c r="H5" s="287"/>
      <c r="I5" s="288"/>
      <c r="J5" s="287"/>
      <c r="K5" s="287"/>
      <c r="L5" s="287"/>
      <c r="M5" s="287"/>
      <c r="N5" s="287">
        <f t="shared" si="0"/>
        <v>90000</v>
      </c>
      <c r="P5" s="250"/>
      <c r="Q5" s="217"/>
      <c r="R5" s="217"/>
    </row>
    <row r="6" spans="1:18">
      <c r="A6" s="375"/>
      <c r="B6" s="227"/>
      <c r="C6" s="227"/>
      <c r="D6" s="227">
        <v>80000</v>
      </c>
      <c r="E6" s="291"/>
      <c r="F6" s="227"/>
      <c r="G6" s="291"/>
      <c r="H6" s="227"/>
      <c r="I6" s="291"/>
      <c r="J6" s="227"/>
      <c r="K6" s="227"/>
      <c r="L6" s="227"/>
      <c r="M6" s="227"/>
      <c r="N6" s="287">
        <f t="shared" si="0"/>
        <v>80000</v>
      </c>
    </row>
    <row r="7" spans="1:18">
      <c r="A7" s="375"/>
      <c r="B7" s="227"/>
      <c r="C7" s="227"/>
      <c r="D7" s="227">
        <v>107600</v>
      </c>
      <c r="E7" s="291"/>
      <c r="F7" s="227"/>
      <c r="G7" s="291"/>
      <c r="H7" s="227"/>
      <c r="I7" s="291"/>
      <c r="J7" s="227"/>
      <c r="K7" s="227"/>
      <c r="L7" s="227"/>
      <c r="M7" s="227"/>
      <c r="N7" s="287">
        <f t="shared" si="0"/>
        <v>107600</v>
      </c>
    </row>
    <row r="8" spans="1:18">
      <c r="A8" s="376"/>
      <c r="B8" s="227"/>
      <c r="C8" s="227"/>
      <c r="D8" s="227"/>
      <c r="E8" s="291"/>
      <c r="F8" s="227"/>
      <c r="G8" s="291"/>
      <c r="H8" s="316">
        <v>-100000</v>
      </c>
      <c r="I8" s="291">
        <v>300000</v>
      </c>
      <c r="J8" s="227"/>
      <c r="K8" s="227"/>
      <c r="L8" s="227"/>
      <c r="M8" s="227"/>
      <c r="N8" s="287">
        <f t="shared" si="0"/>
        <v>200000</v>
      </c>
    </row>
    <row r="9" spans="1:18" ht="13.5" customHeight="1">
      <c r="A9" s="232" t="s">
        <v>203</v>
      </c>
      <c r="B9" s="227"/>
      <c r="C9" s="227"/>
      <c r="D9" s="227">
        <v>6000</v>
      </c>
      <c r="E9" s="291"/>
      <c r="F9" s="240"/>
      <c r="G9" s="291"/>
      <c r="H9" s="227"/>
      <c r="I9" s="291"/>
      <c r="J9" s="227"/>
      <c r="K9" s="227">
        <v>6000</v>
      </c>
      <c r="L9" s="227"/>
      <c r="M9" s="227"/>
      <c r="N9" s="287">
        <f t="shared" si="0"/>
        <v>12000</v>
      </c>
    </row>
    <row r="10" spans="1:18">
      <c r="A10" s="256" t="s">
        <v>204</v>
      </c>
      <c r="B10" s="227"/>
      <c r="C10" s="227"/>
      <c r="D10" s="227">
        <v>30000</v>
      </c>
      <c r="E10" s="291">
        <v>30000</v>
      </c>
      <c r="F10" s="227"/>
      <c r="G10" s="291">
        <v>30000</v>
      </c>
      <c r="H10" s="227">
        <v>30000</v>
      </c>
      <c r="I10" s="291"/>
      <c r="J10" s="227"/>
      <c r="K10" s="227"/>
      <c r="L10" s="227"/>
      <c r="M10" s="227"/>
      <c r="N10" s="287">
        <f t="shared" si="0"/>
        <v>120000</v>
      </c>
    </row>
    <row r="11" spans="1:18">
      <c r="A11" s="256" t="s">
        <v>231</v>
      </c>
      <c r="B11" s="292"/>
      <c r="C11" s="292"/>
      <c r="D11" s="292"/>
      <c r="E11" s="292">
        <v>37000</v>
      </c>
      <c r="F11" s="292">
        <v>18000</v>
      </c>
      <c r="G11" s="292"/>
      <c r="H11" s="292"/>
      <c r="I11" s="292"/>
      <c r="J11" s="289"/>
      <c r="K11" s="289"/>
      <c r="L11" s="289"/>
      <c r="M11" s="289"/>
      <c r="N11" s="287">
        <f t="shared" si="0"/>
        <v>55000</v>
      </c>
    </row>
    <row r="12" spans="1:18">
      <c r="A12" s="262" t="s">
        <v>232</v>
      </c>
      <c r="B12" s="292"/>
      <c r="C12" s="292"/>
      <c r="D12" s="292"/>
      <c r="E12" s="292">
        <v>45000</v>
      </c>
      <c r="F12" s="292"/>
      <c r="G12" s="292"/>
      <c r="H12" s="292"/>
      <c r="I12" s="292"/>
      <c r="J12" s="292"/>
      <c r="K12" s="292"/>
      <c r="L12" s="292"/>
      <c r="M12" s="292"/>
      <c r="N12" s="287">
        <f t="shared" si="0"/>
        <v>45000</v>
      </c>
    </row>
    <row r="13" spans="1:18">
      <c r="A13" s="273" t="s">
        <v>233</v>
      </c>
      <c r="B13" s="222"/>
      <c r="C13" s="222"/>
      <c r="D13" s="287"/>
      <c r="E13" s="240">
        <v>40000</v>
      </c>
      <c r="F13" s="287"/>
      <c r="G13" s="287"/>
      <c r="H13" s="287"/>
      <c r="I13" s="287"/>
      <c r="J13" s="287"/>
      <c r="K13" s="287"/>
      <c r="L13" s="287"/>
      <c r="M13" s="287"/>
      <c r="N13" s="287">
        <f t="shared" si="0"/>
        <v>40000</v>
      </c>
    </row>
    <row r="14" spans="1:18">
      <c r="A14" s="262" t="s">
        <v>235</v>
      </c>
      <c r="B14" s="240"/>
      <c r="C14" s="240"/>
      <c r="D14" s="240"/>
      <c r="E14" s="240">
        <v>24000</v>
      </c>
      <c r="F14" s="240"/>
      <c r="G14" s="290"/>
      <c r="H14" s="240"/>
      <c r="I14" s="290"/>
      <c r="J14" s="240"/>
      <c r="K14" s="240"/>
      <c r="L14" s="240"/>
      <c r="M14" s="240"/>
      <c r="N14" s="287">
        <f t="shared" si="0"/>
        <v>24000</v>
      </c>
    </row>
    <row r="15" spans="1:18">
      <c r="A15" s="262" t="s">
        <v>231</v>
      </c>
      <c r="B15" s="240"/>
      <c r="C15" s="240"/>
      <c r="D15" s="240"/>
      <c r="E15" s="240">
        <v>18000</v>
      </c>
      <c r="F15" s="240">
        <v>5550</v>
      </c>
      <c r="G15" s="290">
        <v>18000</v>
      </c>
      <c r="H15" s="240">
        <v>23500</v>
      </c>
      <c r="I15" s="240"/>
      <c r="J15" s="240"/>
      <c r="K15" s="240"/>
      <c r="L15" s="240"/>
      <c r="M15" s="240"/>
      <c r="N15" s="287">
        <f t="shared" si="0"/>
        <v>65050</v>
      </c>
    </row>
    <row r="16" spans="1:18">
      <c r="A16" s="262" t="s">
        <v>257</v>
      </c>
      <c r="B16" s="245"/>
      <c r="C16" s="229"/>
      <c r="D16" s="245"/>
      <c r="E16" s="240">
        <v>115560</v>
      </c>
      <c r="F16" s="240"/>
      <c r="G16" s="290"/>
      <c r="H16" s="240"/>
      <c r="I16" s="240"/>
      <c r="J16" s="240"/>
      <c r="K16" s="240"/>
      <c r="L16" s="240"/>
      <c r="M16" s="240"/>
      <c r="N16" s="287">
        <f t="shared" si="0"/>
        <v>115560</v>
      </c>
    </row>
    <row r="17" spans="1:14">
      <c r="A17" s="262" t="s">
        <v>258</v>
      </c>
      <c r="B17" s="240"/>
      <c r="C17" s="240"/>
      <c r="D17" s="240"/>
      <c r="E17" s="290"/>
      <c r="F17" s="240">
        <v>71950</v>
      </c>
      <c r="G17" s="290"/>
      <c r="H17" s="240"/>
      <c r="I17" s="290"/>
      <c r="J17" s="240"/>
      <c r="K17" s="240"/>
      <c r="L17" s="240"/>
      <c r="M17" s="240"/>
      <c r="N17" s="287">
        <f t="shared" si="0"/>
        <v>71950</v>
      </c>
    </row>
    <row r="18" spans="1:14">
      <c r="A18" s="262" t="s">
        <v>259</v>
      </c>
      <c r="B18" s="240"/>
      <c r="C18" s="240"/>
      <c r="D18" s="240"/>
      <c r="E18" s="240"/>
      <c r="F18" s="240">
        <v>24000</v>
      </c>
      <c r="G18" s="317">
        <v>-12000</v>
      </c>
      <c r="H18" s="240"/>
      <c r="I18" s="290"/>
      <c r="J18" s="240"/>
      <c r="K18" s="240"/>
      <c r="L18" s="240"/>
      <c r="M18" s="240"/>
      <c r="N18" s="287">
        <f t="shared" si="0"/>
        <v>12000</v>
      </c>
    </row>
    <row r="19" spans="1:14">
      <c r="A19" s="262" t="s">
        <v>260</v>
      </c>
      <c r="B19" s="240"/>
      <c r="C19" s="240"/>
      <c r="D19" s="240"/>
      <c r="E19" s="240"/>
      <c r="F19" s="240">
        <v>128500</v>
      </c>
      <c r="G19" s="290"/>
      <c r="H19" s="240"/>
      <c r="I19" s="240"/>
      <c r="J19" s="240"/>
      <c r="K19" s="240"/>
      <c r="L19" s="240"/>
      <c r="M19" s="240"/>
      <c r="N19" s="287">
        <f t="shared" si="0"/>
        <v>128500</v>
      </c>
    </row>
    <row r="20" spans="1:14">
      <c r="A20" s="262" t="s">
        <v>264</v>
      </c>
      <c r="B20" s="240"/>
      <c r="C20" s="240"/>
      <c r="D20" s="240"/>
      <c r="E20" s="240"/>
      <c r="F20" s="240">
        <v>9215</v>
      </c>
      <c r="G20" s="290"/>
      <c r="H20" s="240"/>
      <c r="I20" s="240"/>
      <c r="J20" s="240"/>
      <c r="K20" s="240"/>
      <c r="L20" s="240"/>
      <c r="M20" s="240"/>
      <c r="N20" s="287">
        <f t="shared" si="0"/>
        <v>9215</v>
      </c>
    </row>
    <row r="21" spans="1:14">
      <c r="A21" s="245" t="s">
        <v>273</v>
      </c>
      <c r="B21" s="240"/>
      <c r="C21" s="240"/>
      <c r="D21" s="240"/>
      <c r="E21" s="240"/>
      <c r="F21" s="240"/>
      <c r="G21" s="240">
        <v>12000</v>
      </c>
      <c r="H21" s="240"/>
      <c r="I21" s="240"/>
      <c r="J21" s="240"/>
      <c r="K21" s="240"/>
      <c r="L21" s="240"/>
      <c r="M21" s="240"/>
      <c r="N21" s="227">
        <f t="shared" si="0"/>
        <v>12000</v>
      </c>
    </row>
    <row r="22" spans="1:14">
      <c r="A22" s="245" t="s">
        <v>275</v>
      </c>
      <c r="B22" s="240"/>
      <c r="C22" s="287"/>
      <c r="D22" s="287"/>
      <c r="E22" s="240"/>
      <c r="F22" s="287"/>
      <c r="G22" s="287">
        <v>30000</v>
      </c>
      <c r="H22" s="287"/>
      <c r="I22" s="287"/>
      <c r="J22" s="287"/>
      <c r="K22" s="287"/>
      <c r="L22" s="287"/>
      <c r="M22" s="287"/>
      <c r="N22" s="287">
        <f t="shared" si="0"/>
        <v>30000</v>
      </c>
    </row>
    <row r="23" spans="1:14">
      <c r="A23" s="262" t="s">
        <v>302</v>
      </c>
      <c r="B23" s="240"/>
      <c r="C23" s="287"/>
      <c r="D23" s="289"/>
      <c r="E23" s="287"/>
      <c r="F23" s="287"/>
      <c r="G23" s="287"/>
      <c r="H23" s="287">
        <v>74417.33</v>
      </c>
      <c r="I23" s="287"/>
      <c r="J23" s="287"/>
      <c r="K23" s="287"/>
      <c r="L23" s="287"/>
      <c r="M23" s="287"/>
      <c r="N23" s="287">
        <f t="shared" si="0"/>
        <v>74417.33</v>
      </c>
    </row>
    <row r="24" spans="1:14">
      <c r="A24" s="269" t="s">
        <v>304</v>
      </c>
      <c r="B24" s="227"/>
      <c r="C24" s="227"/>
      <c r="D24" s="227"/>
      <c r="E24" s="291"/>
      <c r="F24" s="291"/>
      <c r="G24" s="291"/>
      <c r="H24" s="227">
        <v>90680</v>
      </c>
      <c r="I24" s="291"/>
      <c r="J24" s="227"/>
      <c r="K24" s="227"/>
      <c r="L24" s="227"/>
      <c r="M24" s="227"/>
      <c r="N24" s="287">
        <f t="shared" si="0"/>
        <v>90680</v>
      </c>
    </row>
    <row r="25" spans="1:14">
      <c r="A25" s="269" t="s">
        <v>305</v>
      </c>
      <c r="B25" s="227"/>
      <c r="C25" s="227"/>
      <c r="D25" s="227"/>
      <c r="E25" s="291"/>
      <c r="F25" s="291"/>
      <c r="G25" s="291"/>
      <c r="H25" s="227">
        <v>20700</v>
      </c>
      <c r="I25" s="291"/>
      <c r="J25" s="227"/>
      <c r="K25" s="227"/>
      <c r="L25" s="227"/>
      <c r="M25" s="227"/>
      <c r="N25" s="287">
        <f t="shared" si="0"/>
        <v>20700</v>
      </c>
    </row>
    <row r="26" spans="1:14">
      <c r="A26" s="256" t="s">
        <v>317</v>
      </c>
      <c r="B26" s="227"/>
      <c r="C26" s="227"/>
      <c r="D26" s="227"/>
      <c r="E26" s="291"/>
      <c r="F26" s="227"/>
      <c r="G26" s="291"/>
      <c r="H26" s="227"/>
      <c r="I26" s="291">
        <v>9600</v>
      </c>
      <c r="J26" s="227"/>
      <c r="K26" s="227"/>
      <c r="L26" s="227"/>
      <c r="M26" s="227"/>
      <c r="N26" s="287">
        <f t="shared" si="0"/>
        <v>9600</v>
      </c>
    </row>
    <row r="27" spans="1:14">
      <c r="A27" s="256" t="s">
        <v>321</v>
      </c>
      <c r="B27" s="240"/>
      <c r="C27" s="287"/>
      <c r="D27" s="240"/>
      <c r="E27" s="287"/>
      <c r="F27" s="287"/>
      <c r="G27" s="287"/>
      <c r="H27" s="227"/>
      <c r="I27" s="287">
        <v>90000</v>
      </c>
      <c r="J27" s="287"/>
      <c r="K27" s="287"/>
      <c r="L27" s="287"/>
      <c r="M27" s="287"/>
      <c r="N27" s="287">
        <f t="shared" si="0"/>
        <v>90000</v>
      </c>
    </row>
    <row r="28" spans="1:14" ht="26.25">
      <c r="A28" s="293" t="s">
        <v>365</v>
      </c>
      <c r="B28" s="227"/>
      <c r="C28" s="294"/>
      <c r="D28" s="294"/>
      <c r="E28" s="291"/>
      <c r="F28" s="289"/>
      <c r="G28" s="295"/>
      <c r="H28" s="289"/>
      <c r="I28" s="295"/>
      <c r="J28" s="289"/>
      <c r="K28" s="289">
        <f>1270+1270+1270</f>
        <v>3810</v>
      </c>
      <c r="L28" s="289"/>
      <c r="M28" s="289"/>
      <c r="N28" s="287">
        <f t="shared" si="0"/>
        <v>3810</v>
      </c>
    </row>
    <row r="29" spans="1:14">
      <c r="A29" s="260"/>
      <c r="B29" s="296"/>
      <c r="C29" s="296"/>
      <c r="D29" s="296"/>
      <c r="E29" s="297"/>
      <c r="F29" s="296"/>
      <c r="G29" s="297"/>
      <c r="H29" s="296"/>
      <c r="I29" s="297"/>
      <c r="J29" s="296"/>
      <c r="K29" s="296"/>
      <c r="L29" s="296"/>
      <c r="M29" s="296"/>
      <c r="N29" s="287">
        <f t="shared" si="0"/>
        <v>0</v>
      </c>
    </row>
    <row r="30" spans="1:14">
      <c r="A30" s="298"/>
      <c r="B30" s="240"/>
      <c r="C30" s="240"/>
      <c r="D30" s="287"/>
      <c r="E30" s="290"/>
      <c r="F30" s="287"/>
      <c r="G30" s="288"/>
      <c r="H30" s="287"/>
      <c r="I30" s="288"/>
      <c r="J30" s="287"/>
      <c r="K30" s="287"/>
      <c r="L30" s="287"/>
      <c r="M30" s="287"/>
      <c r="N30" s="287">
        <f t="shared" si="0"/>
        <v>0</v>
      </c>
    </row>
    <row r="31" spans="1:14">
      <c r="A31" s="298"/>
      <c r="B31" s="227"/>
      <c r="C31" s="289"/>
      <c r="D31" s="289"/>
      <c r="E31" s="291"/>
      <c r="F31" s="296"/>
      <c r="G31" s="295"/>
      <c r="H31" s="289"/>
      <c r="I31" s="295"/>
      <c r="J31" s="289"/>
      <c r="K31" s="289"/>
      <c r="L31" s="289"/>
      <c r="M31" s="289"/>
      <c r="N31" s="287">
        <f t="shared" si="0"/>
        <v>0</v>
      </c>
    </row>
    <row r="32" spans="1:14">
      <c r="A32" s="298"/>
      <c r="B32" s="227"/>
      <c r="C32" s="289"/>
      <c r="D32" s="289"/>
      <c r="E32" s="291"/>
      <c r="F32" s="296"/>
      <c r="G32" s="295"/>
      <c r="H32" s="289"/>
      <c r="I32" s="295"/>
      <c r="J32" s="289"/>
      <c r="K32" s="289"/>
      <c r="L32" s="289"/>
      <c r="M32" s="289"/>
      <c r="N32" s="287">
        <f t="shared" si="0"/>
        <v>0</v>
      </c>
    </row>
    <row r="33" spans="1:14">
      <c r="A33" s="298"/>
      <c r="B33" s="227"/>
      <c r="C33" s="289"/>
      <c r="D33" s="289"/>
      <c r="E33" s="291"/>
      <c r="F33" s="289"/>
      <c r="G33" s="295"/>
      <c r="H33" s="289"/>
      <c r="I33" s="295"/>
      <c r="J33" s="289"/>
      <c r="K33" s="289"/>
      <c r="L33" s="289"/>
      <c r="M33" s="289"/>
      <c r="N33" s="287">
        <f t="shared" si="0"/>
        <v>0</v>
      </c>
    </row>
    <row r="34" spans="1:14">
      <c r="A34" s="299"/>
      <c r="B34" s="227"/>
      <c r="C34" s="289"/>
      <c r="D34" s="289"/>
      <c r="E34" s="291"/>
      <c r="F34" s="289"/>
      <c r="G34" s="295"/>
      <c r="H34" s="289"/>
      <c r="I34" s="295"/>
      <c r="J34" s="289"/>
      <c r="K34" s="289"/>
      <c r="L34" s="289"/>
      <c r="M34" s="289"/>
      <c r="N34" s="287">
        <f t="shared" si="0"/>
        <v>0</v>
      </c>
    </row>
    <row r="35" spans="1:14">
      <c r="A35" s="299"/>
      <c r="B35" s="227"/>
      <c r="C35" s="289"/>
      <c r="D35" s="289"/>
      <c r="E35" s="291"/>
      <c r="F35" s="289"/>
      <c r="G35" s="295"/>
      <c r="H35" s="289"/>
      <c r="I35" s="295"/>
      <c r="J35" s="289"/>
      <c r="K35" s="289"/>
      <c r="L35" s="289"/>
      <c r="M35" s="289"/>
      <c r="N35" s="287">
        <f t="shared" ref="N35:N65" si="1">SUM(B35:M35)</f>
        <v>0</v>
      </c>
    </row>
    <row r="36" spans="1:14">
      <c r="A36" s="299"/>
      <c r="B36" s="227"/>
      <c r="C36" s="289"/>
      <c r="D36" s="289"/>
      <c r="E36" s="291"/>
      <c r="F36" s="289"/>
      <c r="G36" s="295"/>
      <c r="H36" s="289"/>
      <c r="I36" s="295"/>
      <c r="J36" s="289"/>
      <c r="K36" s="289"/>
      <c r="L36" s="289"/>
      <c r="M36" s="289"/>
      <c r="N36" s="287">
        <f t="shared" si="1"/>
        <v>0</v>
      </c>
    </row>
    <row r="37" spans="1:14">
      <c r="A37" s="299"/>
      <c r="B37" s="227"/>
      <c r="C37" s="289"/>
      <c r="D37" s="289"/>
      <c r="E37" s="296"/>
      <c r="F37" s="289"/>
      <c r="G37" s="295"/>
      <c r="H37" s="289"/>
      <c r="I37" s="295"/>
      <c r="J37" s="289"/>
      <c r="K37" s="289"/>
      <c r="L37" s="289"/>
      <c r="M37" s="289"/>
      <c r="N37" s="287">
        <f t="shared" si="1"/>
        <v>0</v>
      </c>
    </row>
    <row r="38" spans="1:14">
      <c r="A38" s="299"/>
      <c r="B38" s="227"/>
      <c r="C38" s="289"/>
      <c r="D38" s="289"/>
      <c r="E38" s="297"/>
      <c r="F38" s="289"/>
      <c r="G38" s="295"/>
      <c r="H38" s="289"/>
      <c r="I38" s="295"/>
      <c r="J38" s="289"/>
      <c r="K38" s="289"/>
      <c r="L38" s="289"/>
      <c r="M38" s="289"/>
      <c r="N38" s="287">
        <f t="shared" si="1"/>
        <v>0</v>
      </c>
    </row>
    <row r="39" spans="1:14">
      <c r="A39" s="299"/>
      <c r="B39" s="227"/>
      <c r="C39" s="289"/>
      <c r="D39" s="289"/>
      <c r="E39" s="297"/>
      <c r="F39" s="289"/>
      <c r="G39" s="295"/>
      <c r="H39" s="289"/>
      <c r="I39" s="295"/>
      <c r="J39" s="289"/>
      <c r="K39" s="289"/>
      <c r="L39" s="289"/>
      <c r="M39" s="289"/>
      <c r="N39" s="287">
        <f t="shared" si="1"/>
        <v>0</v>
      </c>
    </row>
    <row r="40" spans="1:14">
      <c r="A40" s="299"/>
      <c r="B40" s="227"/>
      <c r="C40" s="289"/>
      <c r="D40" s="289"/>
      <c r="E40" s="297"/>
      <c r="F40" s="289"/>
      <c r="G40" s="295"/>
      <c r="H40" s="289"/>
      <c r="I40" s="295"/>
      <c r="J40" s="289"/>
      <c r="K40" s="289"/>
      <c r="L40" s="289"/>
      <c r="M40" s="289"/>
      <c r="N40" s="287">
        <f t="shared" si="1"/>
        <v>0</v>
      </c>
    </row>
    <row r="41" spans="1:14">
      <c r="A41" s="299"/>
      <c r="B41" s="227"/>
      <c r="C41" s="289"/>
      <c r="D41" s="289"/>
      <c r="E41" s="297"/>
      <c r="F41" s="289"/>
      <c r="G41" s="295"/>
      <c r="H41" s="289"/>
      <c r="I41" s="295"/>
      <c r="J41" s="289"/>
      <c r="K41" s="289"/>
      <c r="L41" s="289"/>
      <c r="M41" s="289"/>
      <c r="N41" s="287">
        <f t="shared" si="1"/>
        <v>0</v>
      </c>
    </row>
    <row r="42" spans="1:14">
      <c r="A42" s="299"/>
      <c r="B42" s="227"/>
      <c r="C42" s="289"/>
      <c r="D42" s="289"/>
      <c r="E42" s="297"/>
      <c r="F42" s="289"/>
      <c r="G42" s="295"/>
      <c r="H42" s="289"/>
      <c r="I42" s="295"/>
      <c r="J42" s="289"/>
      <c r="K42" s="289"/>
      <c r="L42" s="289"/>
      <c r="M42" s="289"/>
      <c r="N42" s="287">
        <f t="shared" si="1"/>
        <v>0</v>
      </c>
    </row>
    <row r="43" spans="1:14">
      <c r="A43" s="299"/>
      <c r="B43" s="227"/>
      <c r="C43" s="289"/>
      <c r="D43" s="289"/>
      <c r="E43" s="297"/>
      <c r="F43" s="289"/>
      <c r="G43" s="295"/>
      <c r="H43" s="289"/>
      <c r="I43" s="295"/>
      <c r="J43" s="289"/>
      <c r="K43" s="289"/>
      <c r="L43" s="289"/>
      <c r="M43" s="289"/>
      <c r="N43" s="287">
        <f t="shared" si="1"/>
        <v>0</v>
      </c>
    </row>
    <row r="44" spans="1:14">
      <c r="A44" s="299"/>
      <c r="B44" s="227"/>
      <c r="C44" s="289"/>
      <c r="D44" s="289"/>
      <c r="E44" s="297"/>
      <c r="F44" s="289"/>
      <c r="G44" s="295"/>
      <c r="H44" s="289"/>
      <c r="I44" s="295"/>
      <c r="J44" s="289"/>
      <c r="K44" s="289"/>
      <c r="L44" s="289"/>
      <c r="M44" s="289"/>
      <c r="N44" s="287">
        <f t="shared" si="1"/>
        <v>0</v>
      </c>
    </row>
    <row r="45" spans="1:14">
      <c r="A45" s="299"/>
      <c r="B45" s="227"/>
      <c r="C45" s="289"/>
      <c r="D45" s="289"/>
      <c r="E45" s="297"/>
      <c r="F45" s="289"/>
      <c r="G45" s="295"/>
      <c r="H45" s="289"/>
      <c r="I45" s="295"/>
      <c r="J45" s="289"/>
      <c r="K45" s="289"/>
      <c r="L45" s="289"/>
      <c r="M45" s="289"/>
      <c r="N45" s="287">
        <f t="shared" si="1"/>
        <v>0</v>
      </c>
    </row>
    <row r="46" spans="1:14">
      <c r="A46" s="299"/>
      <c r="B46" s="227"/>
      <c r="C46" s="289"/>
      <c r="D46" s="289"/>
      <c r="E46" s="297"/>
      <c r="F46" s="289"/>
      <c r="G46" s="295"/>
      <c r="H46" s="289"/>
      <c r="I46" s="295"/>
      <c r="J46" s="289"/>
      <c r="K46" s="289"/>
      <c r="L46" s="289"/>
      <c r="M46" s="289"/>
      <c r="N46" s="287">
        <f t="shared" si="1"/>
        <v>0</v>
      </c>
    </row>
    <row r="47" spans="1:14">
      <c r="A47" s="299"/>
      <c r="B47" s="227"/>
      <c r="C47" s="289"/>
      <c r="D47" s="289"/>
      <c r="E47" s="297"/>
      <c r="F47" s="289"/>
      <c r="G47" s="295"/>
      <c r="H47" s="289"/>
      <c r="I47" s="295"/>
      <c r="J47" s="289"/>
      <c r="K47" s="289"/>
      <c r="L47" s="289"/>
      <c r="M47" s="289"/>
      <c r="N47" s="287">
        <f t="shared" si="1"/>
        <v>0</v>
      </c>
    </row>
    <row r="48" spans="1:14">
      <c r="A48" s="299"/>
      <c r="B48" s="227"/>
      <c r="C48" s="289"/>
      <c r="D48" s="289"/>
      <c r="E48" s="297"/>
      <c r="F48" s="289"/>
      <c r="G48" s="295"/>
      <c r="H48" s="289"/>
      <c r="I48" s="295"/>
      <c r="J48" s="289"/>
      <c r="K48" s="289"/>
      <c r="L48" s="289"/>
      <c r="M48" s="289"/>
      <c r="N48" s="287">
        <f t="shared" si="1"/>
        <v>0</v>
      </c>
    </row>
    <row r="49" spans="1:14">
      <c r="A49" s="299"/>
      <c r="B49" s="227"/>
      <c r="C49" s="289"/>
      <c r="D49" s="289"/>
      <c r="E49" s="297"/>
      <c r="F49" s="289"/>
      <c r="G49" s="295"/>
      <c r="H49" s="289"/>
      <c r="I49" s="295"/>
      <c r="J49" s="289"/>
      <c r="K49" s="289"/>
      <c r="L49" s="289"/>
      <c r="M49" s="289"/>
      <c r="N49" s="287">
        <f t="shared" si="1"/>
        <v>0</v>
      </c>
    </row>
    <row r="50" spans="1:14">
      <c r="A50" s="299"/>
      <c r="B50" s="227"/>
      <c r="C50" s="289"/>
      <c r="D50" s="289"/>
      <c r="E50" s="297"/>
      <c r="F50" s="289"/>
      <c r="G50" s="295"/>
      <c r="H50" s="289"/>
      <c r="I50" s="295"/>
      <c r="J50" s="289"/>
      <c r="K50" s="289"/>
      <c r="L50" s="289"/>
      <c r="M50" s="289"/>
      <c r="N50" s="287">
        <f t="shared" si="1"/>
        <v>0</v>
      </c>
    </row>
    <row r="51" spans="1:14">
      <c r="A51" s="299"/>
      <c r="B51" s="227"/>
      <c r="C51" s="289"/>
      <c r="D51" s="289"/>
      <c r="E51" s="297"/>
      <c r="F51" s="289"/>
      <c r="G51" s="295"/>
      <c r="H51" s="289"/>
      <c r="I51" s="295"/>
      <c r="J51" s="289"/>
      <c r="K51" s="289"/>
      <c r="L51" s="289"/>
      <c r="M51" s="289"/>
      <c r="N51" s="287">
        <f t="shared" si="1"/>
        <v>0</v>
      </c>
    </row>
    <row r="52" spans="1:14">
      <c r="A52" s="299"/>
      <c r="B52" s="227"/>
      <c r="C52" s="289"/>
      <c r="D52" s="289"/>
      <c r="E52" s="297"/>
      <c r="F52" s="289"/>
      <c r="G52" s="295"/>
      <c r="H52" s="289"/>
      <c r="I52" s="295"/>
      <c r="J52" s="289"/>
      <c r="K52" s="289"/>
      <c r="L52" s="289"/>
      <c r="M52" s="289"/>
      <c r="N52" s="287">
        <f t="shared" si="1"/>
        <v>0</v>
      </c>
    </row>
    <row r="53" spans="1:14">
      <c r="A53" s="262"/>
      <c r="B53" s="240"/>
      <c r="C53" s="240"/>
      <c r="D53" s="240"/>
      <c r="E53" s="240"/>
      <c r="F53" s="240"/>
      <c r="G53" s="290"/>
      <c r="H53" s="240"/>
      <c r="I53" s="290"/>
      <c r="J53" s="240"/>
      <c r="K53" s="240"/>
      <c r="L53" s="240"/>
      <c r="M53" s="240"/>
      <c r="N53" s="227">
        <f t="shared" si="1"/>
        <v>0</v>
      </c>
    </row>
    <row r="54" spans="1:14">
      <c r="A54" s="256"/>
      <c r="B54" s="227"/>
      <c r="C54" s="227"/>
      <c r="D54" s="227"/>
      <c r="E54" s="291"/>
      <c r="F54" s="227"/>
      <c r="G54" s="291"/>
      <c r="H54" s="227"/>
      <c r="I54" s="291"/>
      <c r="J54" s="227"/>
      <c r="K54" s="227"/>
      <c r="L54" s="227"/>
      <c r="M54" s="227"/>
      <c r="N54" s="287">
        <f t="shared" si="1"/>
        <v>0</v>
      </c>
    </row>
    <row r="55" spans="1:14">
      <c r="A55" s="234"/>
      <c r="B55" s="240"/>
      <c r="C55" s="240"/>
      <c r="D55" s="240"/>
      <c r="E55" s="240"/>
      <c r="F55" s="300"/>
      <c r="G55" s="290"/>
      <c r="H55" s="240"/>
      <c r="I55" s="290"/>
      <c r="J55" s="240"/>
      <c r="K55" s="240"/>
      <c r="L55" s="240"/>
      <c r="M55" s="240"/>
      <c r="N55" s="287">
        <f t="shared" si="1"/>
        <v>0</v>
      </c>
    </row>
    <row r="56" spans="1:14">
      <c r="A56" s="273"/>
      <c r="B56" s="240"/>
      <c r="C56" s="240"/>
      <c r="D56" s="240"/>
      <c r="E56" s="240"/>
      <c r="F56" s="290"/>
      <c r="G56" s="290"/>
      <c r="H56" s="240"/>
      <c r="I56" s="290"/>
      <c r="J56" s="240"/>
      <c r="K56" s="240"/>
      <c r="L56" s="227"/>
      <c r="M56" s="240"/>
      <c r="N56" s="287">
        <f t="shared" si="1"/>
        <v>0</v>
      </c>
    </row>
    <row r="57" spans="1:14">
      <c r="A57" s="234"/>
      <c r="B57" s="240"/>
      <c r="C57" s="240"/>
      <c r="D57" s="240"/>
      <c r="E57" s="240"/>
      <c r="F57" s="300"/>
      <c r="G57" s="290"/>
      <c r="H57" s="240"/>
      <c r="I57" s="290"/>
      <c r="J57" s="240"/>
      <c r="K57" s="240"/>
      <c r="L57" s="227"/>
      <c r="M57" s="240"/>
      <c r="N57" s="287">
        <f t="shared" si="1"/>
        <v>0</v>
      </c>
    </row>
    <row r="58" spans="1:14">
      <c r="A58" s="245"/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87">
        <f t="shared" si="1"/>
        <v>0</v>
      </c>
    </row>
    <row r="59" spans="1:14">
      <c r="A59" s="245"/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87">
        <f t="shared" si="1"/>
        <v>0</v>
      </c>
    </row>
    <row r="60" spans="1:14">
      <c r="A60" s="245"/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87">
        <f t="shared" si="1"/>
        <v>0</v>
      </c>
    </row>
    <row r="61" spans="1:14">
      <c r="A61" s="262"/>
      <c r="B61" s="240"/>
      <c r="C61" s="287"/>
      <c r="D61" s="240"/>
      <c r="E61" s="287"/>
      <c r="F61" s="287"/>
      <c r="G61" s="287"/>
      <c r="H61" s="287"/>
      <c r="I61" s="287"/>
      <c r="J61" s="287"/>
      <c r="K61" s="287"/>
      <c r="L61" s="287"/>
      <c r="M61" s="287"/>
      <c r="N61" s="287">
        <f t="shared" si="1"/>
        <v>0</v>
      </c>
    </row>
    <row r="62" spans="1:14">
      <c r="A62" s="262"/>
      <c r="B62" s="240"/>
      <c r="C62" s="287"/>
      <c r="D62" s="240"/>
      <c r="E62" s="287"/>
      <c r="F62" s="287"/>
      <c r="G62" s="287"/>
      <c r="H62" s="287"/>
      <c r="I62" s="287"/>
      <c r="J62" s="287"/>
      <c r="K62" s="287"/>
      <c r="L62" s="287"/>
      <c r="M62" s="287"/>
      <c r="N62" s="287">
        <f t="shared" si="1"/>
        <v>0</v>
      </c>
    </row>
    <row r="63" spans="1:14">
      <c r="A63" s="262"/>
      <c r="B63" s="240"/>
      <c r="C63" s="287"/>
      <c r="D63" s="240"/>
      <c r="E63" s="287"/>
      <c r="F63" s="287"/>
      <c r="G63" s="287"/>
      <c r="H63" s="287"/>
      <c r="I63" s="287"/>
      <c r="J63" s="287"/>
      <c r="K63" s="287"/>
      <c r="L63" s="287"/>
      <c r="M63" s="287"/>
      <c r="N63" s="287">
        <f t="shared" si="1"/>
        <v>0</v>
      </c>
    </row>
    <row r="64" spans="1:14">
      <c r="A64" s="269"/>
      <c r="B64" s="227"/>
      <c r="C64" s="227"/>
      <c r="D64" s="227"/>
      <c r="E64" s="291"/>
      <c r="F64" s="240"/>
      <c r="G64" s="291"/>
      <c r="H64" s="227"/>
      <c r="I64" s="291"/>
      <c r="J64" s="227"/>
      <c r="K64" s="227"/>
      <c r="L64" s="227"/>
      <c r="M64" s="227"/>
      <c r="N64" s="287">
        <f t="shared" si="1"/>
        <v>0</v>
      </c>
    </row>
    <row r="65" spans="1:14">
      <c r="A65" s="193"/>
      <c r="B65" s="294"/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87">
        <f t="shared" si="1"/>
        <v>0</v>
      </c>
    </row>
    <row r="66" spans="1:14">
      <c r="A66" s="249" t="s">
        <v>104</v>
      </c>
      <c r="B66" s="263">
        <f t="shared" ref="B66:N66" si="2">SUM(B3:B65)</f>
        <v>50000</v>
      </c>
      <c r="C66" s="263">
        <f t="shared" si="2"/>
        <v>106408</v>
      </c>
      <c r="D66" s="263">
        <f t="shared" si="2"/>
        <v>313600</v>
      </c>
      <c r="E66" s="263">
        <f t="shared" si="2"/>
        <v>309560</v>
      </c>
      <c r="F66" s="263">
        <f t="shared" si="2"/>
        <v>257215</v>
      </c>
      <c r="G66" s="263">
        <f t="shared" si="2"/>
        <v>78000</v>
      </c>
      <c r="H66" s="263">
        <f t="shared" si="2"/>
        <v>189297.33000000002</v>
      </c>
      <c r="I66" s="263">
        <f t="shared" si="2"/>
        <v>399600</v>
      </c>
      <c r="J66" s="263">
        <f t="shared" si="2"/>
        <v>0</v>
      </c>
      <c r="K66" s="263">
        <f t="shared" si="2"/>
        <v>9810</v>
      </c>
      <c r="L66" s="263">
        <f t="shared" si="2"/>
        <v>0</v>
      </c>
      <c r="M66" s="263">
        <f t="shared" si="2"/>
        <v>0</v>
      </c>
      <c r="N66" s="263">
        <f t="shared" si="2"/>
        <v>1713490.33</v>
      </c>
    </row>
    <row r="68" spans="1:14">
      <c r="N68" s="255">
        <f>SUM(B66:M66)-N66</f>
        <v>0</v>
      </c>
    </row>
  </sheetData>
  <mergeCells count="1">
    <mergeCell ref="A5:A8"/>
  </mergeCells>
  <phoneticPr fontId="22" type="noConversion"/>
  <pageMargins left="0.25" right="0.25" top="0.75" bottom="0.75" header="0.3" footer="0.3"/>
  <pageSetup paperSize="9" scale="94" firstPageNumber="42949672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V73"/>
  <sheetViews>
    <sheetView tabSelected="1" topLeftCell="A13" workbookViewId="0">
      <selection activeCell="N1" sqref="N1:O65536"/>
    </sheetView>
  </sheetViews>
  <sheetFormatPr defaultRowHeight="15"/>
  <cols>
    <col min="1" max="1" width="37" style="95" customWidth="1"/>
    <col min="2" max="2" width="14.7109375" style="96" bestFit="1" customWidth="1"/>
    <col min="3" max="3" width="13.5703125" style="96" hidden="1" customWidth="1"/>
    <col min="4" max="4" width="13.28515625" style="96" customWidth="1"/>
    <col min="5" max="5" width="14.7109375" style="96" bestFit="1" customWidth="1"/>
    <col min="6" max="6" width="13.5703125" style="96" bestFit="1" customWidth="1"/>
    <col min="7" max="8" width="13.5703125" style="97" bestFit="1" customWidth="1"/>
    <col min="9" max="10" width="13.42578125" style="97" bestFit="1" customWidth="1"/>
    <col min="11" max="11" width="13.5703125" style="97" bestFit="1" customWidth="1"/>
    <col min="12" max="13" width="13.42578125" style="97" bestFit="1" customWidth="1"/>
    <col min="14" max="14" width="9" style="97" hidden="1" customWidth="1"/>
    <col min="15" max="15" width="7.28515625" style="97" hidden="1" customWidth="1"/>
    <col min="16" max="16" width="14.7109375" style="96" bestFit="1" customWidth="1"/>
    <col min="17" max="17" width="15.28515625" style="96" bestFit="1" customWidth="1"/>
    <col min="18" max="18" width="16" style="96" bestFit="1" customWidth="1"/>
    <col min="19" max="19" width="15.5703125" bestFit="1" customWidth="1"/>
  </cols>
  <sheetData>
    <row r="1" spans="1:19" ht="18" customHeight="1">
      <c r="A1" s="98" t="s">
        <v>52</v>
      </c>
      <c r="B1" s="99" t="s">
        <v>53</v>
      </c>
      <c r="C1" s="97"/>
      <c r="D1" s="97"/>
      <c r="E1" s="97"/>
      <c r="F1" s="97"/>
      <c r="H1" s="310"/>
      <c r="P1" s="97"/>
      <c r="Q1" s="97"/>
      <c r="R1" s="97"/>
    </row>
    <row r="2" spans="1:19" ht="21" customHeight="1">
      <c r="A2" s="100" t="s">
        <v>361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96">
        <v>10</v>
      </c>
      <c r="R2" s="96" t="s">
        <v>54</v>
      </c>
    </row>
    <row r="3" spans="1:19" ht="37.5" customHeight="1">
      <c r="A3" s="9" t="s">
        <v>1</v>
      </c>
      <c r="B3" s="354" t="s">
        <v>2</v>
      </c>
      <c r="C3" s="354" t="s">
        <v>55</v>
      </c>
      <c r="D3" s="352" t="s">
        <v>4</v>
      </c>
      <c r="E3" s="352" t="s">
        <v>5</v>
      </c>
      <c r="F3" s="352" t="s">
        <v>6</v>
      </c>
      <c r="G3" s="352" t="s">
        <v>7</v>
      </c>
      <c r="H3" s="352" t="s">
        <v>8</v>
      </c>
      <c r="I3" s="352" t="s">
        <v>9</v>
      </c>
      <c r="J3" s="352" t="s">
        <v>14</v>
      </c>
      <c r="K3" s="352" t="s">
        <v>15</v>
      </c>
      <c r="L3" s="352" t="s">
        <v>16</v>
      </c>
      <c r="M3" s="352" t="s">
        <v>17</v>
      </c>
      <c r="N3" s="352" t="s">
        <v>18</v>
      </c>
      <c r="O3" s="352" t="s">
        <v>19</v>
      </c>
      <c r="P3" s="354" t="str">
        <f>CONCATENATE("Итого за ",Q2," мес.")</f>
        <v>Итого за 10 мес.</v>
      </c>
      <c r="Q3" s="354" t="str">
        <f>CONCATENATE("Бюджет          за ",Q2," мес.")</f>
        <v>Бюджет          за 10 мес.</v>
      </c>
      <c r="R3" s="357" t="s">
        <v>12</v>
      </c>
    </row>
    <row r="4" spans="1:19" ht="15" customHeight="1">
      <c r="A4" s="102"/>
      <c r="B4" s="355"/>
      <c r="C4" s="355"/>
      <c r="D4" s="353"/>
      <c r="E4" s="353"/>
      <c r="F4" s="353"/>
      <c r="G4" s="353"/>
      <c r="H4" s="353" t="s">
        <v>8</v>
      </c>
      <c r="I4" s="353" t="s">
        <v>9</v>
      </c>
      <c r="J4" s="353" t="s">
        <v>14</v>
      </c>
      <c r="K4" s="353" t="s">
        <v>15</v>
      </c>
      <c r="L4" s="353" t="s">
        <v>16</v>
      </c>
      <c r="M4" s="353" t="s">
        <v>17</v>
      </c>
      <c r="N4" s="353" t="s">
        <v>18</v>
      </c>
      <c r="O4" s="353" t="s">
        <v>19</v>
      </c>
      <c r="P4" s="355"/>
      <c r="Q4" s="356"/>
      <c r="R4" s="358"/>
    </row>
    <row r="5" spans="1:19" ht="15" customHeight="1">
      <c r="A5" s="106" t="s">
        <v>56</v>
      </c>
      <c r="B5" s="107">
        <v>1400000</v>
      </c>
      <c r="C5" s="103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3"/>
      <c r="Q5" s="108"/>
      <c r="R5" s="105"/>
    </row>
    <row r="6" spans="1:19" ht="15.75">
      <c r="A6" s="106" t="s">
        <v>57</v>
      </c>
      <c r="B6" s="107">
        <v>40411000</v>
      </c>
      <c r="C6" s="109">
        <f>B6/12</f>
        <v>3367583.3333333335</v>
      </c>
      <c r="D6" s="110">
        <v>2800148.21</v>
      </c>
      <c r="E6" s="110">
        <f>4223682.45+326+16560</f>
        <v>4240568.45</v>
      </c>
      <c r="F6" s="110">
        <f>326+2280941.79</f>
        <v>2281267.79</v>
      </c>
      <c r="G6" s="111">
        <f>326+3263557.71</f>
        <v>3263883.71</v>
      </c>
      <c r="H6" s="112">
        <f>326+3606792.88</f>
        <v>3607118.88</v>
      </c>
      <c r="I6" s="113">
        <f>326+2772361.99</f>
        <v>2772687.99</v>
      </c>
      <c r="J6" s="113">
        <f>326+3388862.65</f>
        <v>3389188.65</v>
      </c>
      <c r="K6" s="110">
        <f>326+3432942.01</f>
        <v>3433268.01</v>
      </c>
      <c r="L6" s="114">
        <f>326+4495911.16</f>
        <v>4496237.16</v>
      </c>
      <c r="M6" s="110">
        <f>326+3012572.42</f>
        <v>3012898.42</v>
      </c>
      <c r="N6" s="110"/>
      <c r="O6" s="114"/>
      <c r="P6" s="115">
        <f>SUM(D6:O6)</f>
        <v>33297267.269999996</v>
      </c>
      <c r="Q6" s="116">
        <f>C6*Q2</f>
        <v>33675833.333333336</v>
      </c>
      <c r="R6" s="117">
        <f>P6-Q6</f>
        <v>-378566.06333333999</v>
      </c>
    </row>
    <row r="7" spans="1:19" ht="15.75">
      <c r="A7" s="359" t="s">
        <v>58</v>
      </c>
      <c r="B7" s="361">
        <v>1000000</v>
      </c>
      <c r="C7" s="363">
        <f>B7/12</f>
        <v>83333.333333333328</v>
      </c>
      <c r="D7" s="110">
        <v>199600</v>
      </c>
      <c r="E7" s="110">
        <v>108255</v>
      </c>
      <c r="F7" s="110">
        <v>141920</v>
      </c>
      <c r="G7" s="111">
        <v>134431</v>
      </c>
      <c r="H7" s="112">
        <v>45650</v>
      </c>
      <c r="I7" s="113">
        <v>60200</v>
      </c>
      <c r="J7" s="110">
        <v>39900</v>
      </c>
      <c r="K7" s="110">
        <v>13800</v>
      </c>
      <c r="L7" s="110">
        <v>33350</v>
      </c>
      <c r="M7" s="110">
        <v>23960</v>
      </c>
      <c r="N7" s="110"/>
      <c r="O7" s="114"/>
      <c r="P7" s="115">
        <f>SUM(D7:O7)</f>
        <v>801066</v>
      </c>
      <c r="Q7" s="365">
        <f>C7*Q2</f>
        <v>833333.33333333326</v>
      </c>
      <c r="R7" s="367">
        <f>P7-Q7+P8</f>
        <v>-12817.463333333253</v>
      </c>
    </row>
    <row r="8" spans="1:19" ht="15.75">
      <c r="A8" s="360"/>
      <c r="B8" s="362"/>
      <c r="C8" s="364"/>
      <c r="D8" s="110"/>
      <c r="E8" s="110"/>
      <c r="F8" s="110">
        <v>13768.77</v>
      </c>
      <c r="G8" s="111"/>
      <c r="H8" s="112"/>
      <c r="I8" s="113">
        <v>5681.1</v>
      </c>
      <c r="J8" s="110"/>
      <c r="K8" s="110"/>
      <c r="L8" s="110"/>
      <c r="M8" s="110"/>
      <c r="N8" s="110"/>
      <c r="O8" s="114"/>
      <c r="P8" s="115">
        <f>SUM(D8:O8)</f>
        <v>19449.870000000003</v>
      </c>
      <c r="Q8" s="366"/>
      <c r="R8" s="368"/>
    </row>
    <row r="9" spans="1:19" ht="31.5">
      <c r="A9" s="106" t="s">
        <v>59</v>
      </c>
      <c r="B9" s="107">
        <v>730000</v>
      </c>
      <c r="C9" s="120">
        <f>B9/12</f>
        <v>60833.333333333336</v>
      </c>
      <c r="D9" s="121">
        <v>61000</v>
      </c>
      <c r="E9" s="121">
        <f>20000+18000+2000+20000</f>
        <v>60000</v>
      </c>
      <c r="F9" s="121">
        <f>20000+18000+4000+20000</f>
        <v>62000</v>
      </c>
      <c r="G9" s="122">
        <f>20000+18000+20000</f>
        <v>58000</v>
      </c>
      <c r="H9" s="123">
        <f>20000+18000+2000+20000</f>
        <v>60000</v>
      </c>
      <c r="I9" s="123">
        <f>20000+18000+6000+20000</f>
        <v>64000</v>
      </c>
      <c r="J9" s="121">
        <f>18000+20000+3000</f>
        <v>41000</v>
      </c>
      <c r="K9" s="123">
        <f>60000+20000+4000+20000</f>
        <v>104000</v>
      </c>
      <c r="L9" s="123">
        <f>20000+20000+20000+4000</f>
        <v>64000</v>
      </c>
      <c r="M9" s="123">
        <f>20000+20000+20000</f>
        <v>60000</v>
      </c>
      <c r="N9" s="123"/>
      <c r="O9" s="124"/>
      <c r="P9" s="115">
        <f>SUM(D9:O9)</f>
        <v>634000</v>
      </c>
      <c r="Q9" s="125">
        <f>C9*Q2</f>
        <v>608333.33333333337</v>
      </c>
      <c r="R9" s="117">
        <f>P9-Q9</f>
        <v>25666.666666666628</v>
      </c>
    </row>
    <row r="10" spans="1:19" ht="31.5">
      <c r="A10" s="126" t="s">
        <v>60</v>
      </c>
      <c r="B10" s="127"/>
      <c r="C10" s="128"/>
      <c r="D10" s="311">
        <v>1130000</v>
      </c>
      <c r="E10" s="129">
        <v>419047</v>
      </c>
      <c r="F10" s="129">
        <v>33612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30">
        <f t="shared" ref="P10:P33" si="0">SUM(D10:O10)</f>
        <v>1582659</v>
      </c>
      <c r="Q10" s="131">
        <f>C10*Q2</f>
        <v>0</v>
      </c>
      <c r="R10" s="132">
        <f>P10-Q10</f>
        <v>1582659</v>
      </c>
    </row>
    <row r="11" spans="1:19" ht="15.75">
      <c r="A11" s="133" t="s">
        <v>61</v>
      </c>
      <c r="B11" s="119">
        <f>SUM(B6:B10)</f>
        <v>42141000</v>
      </c>
      <c r="C11" s="134">
        <f t="shared" ref="C11:O11" si="1">SUM(C6:C10)</f>
        <v>3511750.0000000005</v>
      </c>
      <c r="D11" s="135">
        <f t="shared" si="1"/>
        <v>4190748.21</v>
      </c>
      <c r="E11" s="135">
        <f t="shared" si="1"/>
        <v>4827870.45</v>
      </c>
      <c r="F11" s="135">
        <f t="shared" si="1"/>
        <v>2532568.56</v>
      </c>
      <c r="G11" s="135">
        <f t="shared" si="1"/>
        <v>3456314.71</v>
      </c>
      <c r="H11" s="135">
        <f t="shared" si="1"/>
        <v>3712768.88</v>
      </c>
      <c r="I11" s="135">
        <f t="shared" si="1"/>
        <v>2902569.0900000003</v>
      </c>
      <c r="J11" s="135">
        <f t="shared" si="1"/>
        <v>3470088.65</v>
      </c>
      <c r="K11" s="135">
        <f t="shared" si="1"/>
        <v>3551068.01</v>
      </c>
      <c r="L11" s="135">
        <f t="shared" si="1"/>
        <v>4593587.16</v>
      </c>
      <c r="M11" s="135">
        <f t="shared" si="1"/>
        <v>3096858.42</v>
      </c>
      <c r="N11" s="135">
        <f t="shared" si="1"/>
        <v>0</v>
      </c>
      <c r="O11" s="135">
        <f t="shared" si="1"/>
        <v>0</v>
      </c>
      <c r="P11" s="136">
        <f t="shared" si="0"/>
        <v>36334442.139999993</v>
      </c>
      <c r="Q11" s="137">
        <f>SUM(Q6:Q10)</f>
        <v>35117500.000000007</v>
      </c>
      <c r="R11" s="138">
        <f>P11-Q11</f>
        <v>1216942.1399999857</v>
      </c>
      <c r="S11" s="139"/>
    </row>
    <row r="12" spans="1:19" ht="15.75">
      <c r="A12" s="140" t="s">
        <v>62</v>
      </c>
      <c r="B12" s="107">
        <f>B11+B5</f>
        <v>43541000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39"/>
    </row>
    <row r="13" spans="1:19" ht="33" customHeight="1">
      <c r="A13" s="142" t="s">
        <v>26</v>
      </c>
      <c r="B13" s="143"/>
      <c r="C13" s="144"/>
      <c r="D13" s="144"/>
      <c r="E13" s="144"/>
      <c r="F13" s="144"/>
      <c r="G13" s="145"/>
      <c r="H13" s="146"/>
      <c r="I13" s="146"/>
      <c r="J13" s="145"/>
      <c r="K13" s="145"/>
      <c r="L13" s="145"/>
      <c r="M13" s="145"/>
      <c r="N13" s="145"/>
      <c r="O13" s="145"/>
      <c r="P13" s="144"/>
      <c r="Q13" s="147"/>
      <c r="R13" s="148" t="s">
        <v>27</v>
      </c>
    </row>
    <row r="14" spans="1:19" ht="15.75">
      <c r="A14" s="149" t="s">
        <v>28</v>
      </c>
      <c r="B14" s="107">
        <v>800000</v>
      </c>
      <c r="C14" s="109">
        <f t="shared" ref="C14:C33" si="2">B14/12</f>
        <v>66666.666666666672</v>
      </c>
      <c r="D14" s="150">
        <f ca="1">'общехоз расходы'!B91</f>
        <v>83137.290000000008</v>
      </c>
      <c r="E14" s="150">
        <f ca="1">'общехоз расходы'!C91</f>
        <v>139851.13</v>
      </c>
      <c r="F14" s="150">
        <f ca="1">'общехоз расходы'!D91</f>
        <v>53455.189999999995</v>
      </c>
      <c r="G14" s="150">
        <f ca="1">'общехоз расходы'!E91</f>
        <v>31300.560000000001</v>
      </c>
      <c r="H14" s="150">
        <f ca="1">'общехоз расходы'!F91</f>
        <v>122655.28</v>
      </c>
      <c r="I14" s="150">
        <f ca="1">'общехоз расходы'!G91</f>
        <v>74270.38</v>
      </c>
      <c r="J14" s="150">
        <f ca="1">'общехоз расходы'!H91</f>
        <v>51832.02</v>
      </c>
      <c r="K14" s="150">
        <f ca="1">'общехоз расходы'!I91</f>
        <v>88195.28</v>
      </c>
      <c r="L14" s="150">
        <f ca="1">'общехоз расходы'!J91</f>
        <v>44928.539999999994</v>
      </c>
      <c r="M14" s="150">
        <f ca="1">'общехоз расходы'!K91</f>
        <v>57315.130000000005</v>
      </c>
      <c r="N14" s="150">
        <f ca="1">'общехоз расходы'!L91</f>
        <v>0</v>
      </c>
      <c r="O14" s="150">
        <f ca="1">'общехоз расходы'!M91</f>
        <v>0</v>
      </c>
      <c r="P14" s="151">
        <f t="shared" si="0"/>
        <v>746940.8</v>
      </c>
      <c r="Q14" s="116">
        <f t="shared" ref="Q14:Q29" si="3">C14*$Q$2</f>
        <v>666666.66666666674</v>
      </c>
      <c r="R14" s="152">
        <f t="shared" ref="R14:R33" si="4">Q14-P14</f>
        <v>-80274.133333333302</v>
      </c>
    </row>
    <row r="15" spans="1:19" ht="15.75">
      <c r="A15" s="102" t="s">
        <v>29</v>
      </c>
      <c r="B15" s="119">
        <v>40000</v>
      </c>
      <c r="C15" s="109">
        <f t="shared" si="2"/>
        <v>3333.3333333333335</v>
      </c>
      <c r="D15" s="153">
        <f ca="1">'программ обеспечение'!B10</f>
        <v>7470.34</v>
      </c>
      <c r="E15" s="153">
        <f ca="1">'программ обеспечение'!C10</f>
        <v>0</v>
      </c>
      <c r="F15" s="153">
        <f ca="1">'программ обеспечение'!D10</f>
        <v>0</v>
      </c>
      <c r="G15" s="153">
        <f ca="1">'программ обеспечение'!E10</f>
        <v>10400</v>
      </c>
      <c r="H15" s="153">
        <f ca="1">'программ обеспечение'!F10</f>
        <v>0</v>
      </c>
      <c r="I15" s="153">
        <f ca="1">'программ обеспечение'!G10</f>
        <v>4053</v>
      </c>
      <c r="J15" s="150">
        <f ca="1">'программ обеспечение'!H10</f>
        <v>0</v>
      </c>
      <c r="K15" s="150">
        <f ca="1">'программ обеспечение'!I10</f>
        <v>0</v>
      </c>
      <c r="L15" s="150">
        <f ca="1">'программ обеспечение'!J10</f>
        <v>0</v>
      </c>
      <c r="M15" s="150">
        <f ca="1">'программ обеспечение'!K10</f>
        <v>3000</v>
      </c>
      <c r="N15" s="150">
        <f ca="1">'программ обеспечение'!L10</f>
        <v>0</v>
      </c>
      <c r="O15" s="150">
        <f ca="1">'программ обеспечение'!M10</f>
        <v>0</v>
      </c>
      <c r="P15" s="115">
        <f t="shared" si="0"/>
        <v>24923.34</v>
      </c>
      <c r="Q15" s="116">
        <f t="shared" si="3"/>
        <v>33333.333333333336</v>
      </c>
      <c r="R15" s="152">
        <f t="shared" si="4"/>
        <v>8409.9933333333356</v>
      </c>
    </row>
    <row r="16" spans="1:19" ht="15.75">
      <c r="A16" s="149" t="s">
        <v>30</v>
      </c>
      <c r="B16" s="107">
        <v>160000</v>
      </c>
      <c r="C16" s="109">
        <f t="shared" si="2"/>
        <v>13333.333333333334</v>
      </c>
      <c r="D16" s="150">
        <f ca="1">'услуги связи'!B7</f>
        <v>12200</v>
      </c>
      <c r="E16" s="150">
        <f ca="1">'услуги связи'!C7</f>
        <v>12600</v>
      </c>
      <c r="F16" s="150">
        <f ca="1">'услуги связи'!D7</f>
        <v>11000</v>
      </c>
      <c r="G16" s="150">
        <f ca="1">'услуги связи'!E7</f>
        <v>17200</v>
      </c>
      <c r="H16" s="150">
        <f ca="1">'услуги связи'!F7</f>
        <v>12200</v>
      </c>
      <c r="I16" s="150">
        <f ca="1">'услуги связи'!G7</f>
        <v>11000</v>
      </c>
      <c r="J16" s="150">
        <f ca="1">'услуги связи'!H7</f>
        <v>12200</v>
      </c>
      <c r="K16" s="150">
        <f ca="1">'услуги связи'!I7</f>
        <v>12200</v>
      </c>
      <c r="L16" s="150">
        <f ca="1">'услуги связи'!J7</f>
        <v>13400</v>
      </c>
      <c r="M16" s="150">
        <f ca="1">'услуги связи'!K7</f>
        <v>1200</v>
      </c>
      <c r="N16" s="150">
        <f ca="1">'услуги связи'!L7</f>
        <v>0</v>
      </c>
      <c r="O16" s="150">
        <f ca="1">'услуги связи'!M7</f>
        <v>0</v>
      </c>
      <c r="P16" s="115">
        <f t="shared" si="0"/>
        <v>115200</v>
      </c>
      <c r="Q16" s="116">
        <f t="shared" si="3"/>
        <v>133333.33333333334</v>
      </c>
      <c r="R16" s="152">
        <f t="shared" si="4"/>
        <v>18133.333333333343</v>
      </c>
    </row>
    <row r="17" spans="1:22" ht="15.75">
      <c r="A17" s="102" t="s">
        <v>63</v>
      </c>
      <c r="B17" s="119">
        <v>8360000</v>
      </c>
      <c r="C17" s="109">
        <f t="shared" si="2"/>
        <v>696666.66666666663</v>
      </c>
      <c r="D17" s="153">
        <f ca="1">'з пл'!B5</f>
        <v>702243.35</v>
      </c>
      <c r="E17" s="153">
        <f ca="1">'з пл'!C5</f>
        <v>635309.03</v>
      </c>
      <c r="F17" s="153">
        <f ca="1">'з пл'!D5</f>
        <v>711892.81999999983</v>
      </c>
      <c r="G17" s="153">
        <f ca="1">'з пл'!E5</f>
        <v>715298.69000000006</v>
      </c>
      <c r="H17" s="154">
        <f ca="1">'з пл'!F5</f>
        <v>689086.48</v>
      </c>
      <c r="I17" s="153">
        <f ca="1">'з пл'!G5</f>
        <v>753299.36</v>
      </c>
      <c r="J17" s="150">
        <f ca="1">'з пл'!H5</f>
        <v>629519.74</v>
      </c>
      <c r="K17" s="150">
        <f ca="1">'з пл'!I5</f>
        <v>764008.23</v>
      </c>
      <c r="L17" s="150">
        <f ca="1">'з пл'!J5</f>
        <v>818097.48</v>
      </c>
      <c r="M17" s="150">
        <f ca="1">'з пл'!K5</f>
        <v>691867.45</v>
      </c>
      <c r="N17" s="150">
        <f ca="1">'з пл'!L5</f>
        <v>0</v>
      </c>
      <c r="O17" s="150">
        <f ca="1">'з пл'!M5</f>
        <v>0</v>
      </c>
      <c r="P17" s="115">
        <f t="shared" si="0"/>
        <v>7110622.6299999999</v>
      </c>
      <c r="Q17" s="116">
        <f t="shared" si="3"/>
        <v>6966666.666666666</v>
      </c>
      <c r="R17" s="152">
        <f t="shared" si="4"/>
        <v>-143955.96333333384</v>
      </c>
    </row>
    <row r="18" spans="1:22" ht="15.75">
      <c r="A18" s="102" t="s">
        <v>33</v>
      </c>
      <c r="B18" s="119">
        <v>600000</v>
      </c>
      <c r="C18" s="109" t="s">
        <v>68</v>
      </c>
      <c r="D18" s="153">
        <f ca="1">'премиальный фонд'!B5</f>
        <v>0</v>
      </c>
      <c r="E18" s="153">
        <f ca="1">'премиальный фонд'!C5</f>
        <v>0</v>
      </c>
      <c r="F18" s="153">
        <f ca="1">'премиальный фонд'!D5</f>
        <v>0</v>
      </c>
      <c r="G18" s="153">
        <f ca="1">'премиальный фонд'!E5</f>
        <v>0</v>
      </c>
      <c r="H18" s="154">
        <f ca="1">'премиальный фонд'!F5</f>
        <v>0</v>
      </c>
      <c r="I18" s="153">
        <f ca="1">'премиальный фонд'!G5</f>
        <v>0</v>
      </c>
      <c r="J18" s="153">
        <f ca="1">'премиальный фонд'!H5</f>
        <v>51140</v>
      </c>
      <c r="K18" s="153">
        <f ca="1">'премиальный фонд'!I5</f>
        <v>0</v>
      </c>
      <c r="L18" s="153">
        <f ca="1">'премиальный фонд'!J5</f>
        <v>40000</v>
      </c>
      <c r="M18" s="153">
        <f ca="1">'премиальный фонд'!K5</f>
        <v>10000</v>
      </c>
      <c r="N18" s="150">
        <f ca="1">'премиальный фонд'!L5</f>
        <v>0</v>
      </c>
      <c r="O18" s="150">
        <f ca="1">'премиальный фонд'!M5</f>
        <v>0</v>
      </c>
      <c r="P18" s="115">
        <f t="shared" si="0"/>
        <v>101140</v>
      </c>
      <c r="Q18" s="155">
        <f>B18</f>
        <v>600000</v>
      </c>
      <c r="R18" s="152">
        <f t="shared" si="4"/>
        <v>498860</v>
      </c>
    </row>
    <row r="19" spans="1:22" ht="15.75">
      <c r="A19" s="102" t="s">
        <v>34</v>
      </c>
      <c r="B19" s="119">
        <v>2700000</v>
      </c>
      <c r="C19" s="109">
        <f t="shared" si="2"/>
        <v>225000</v>
      </c>
      <c r="D19" s="153">
        <f ca="1">'налог с ФОТ'!B6</f>
        <v>203291.6</v>
      </c>
      <c r="E19" s="153">
        <f ca="1">'налог с ФОТ'!C6</f>
        <v>222271.25</v>
      </c>
      <c r="F19" s="153">
        <f ca="1">'налог с ФОТ'!D6</f>
        <v>187509.67999999996</v>
      </c>
      <c r="G19" s="153">
        <f ca="1">'налог с ФОТ'!E6</f>
        <v>198842.05</v>
      </c>
      <c r="H19" s="154">
        <f ca="1">'налог с ФОТ'!F6</f>
        <v>184297.75</v>
      </c>
      <c r="I19" s="154">
        <f ca="1">'налог с ФОТ'!G6</f>
        <v>209166.26999999996</v>
      </c>
      <c r="J19" s="153">
        <f ca="1">'налог с ФОТ'!H6</f>
        <v>187590.82000000004</v>
      </c>
      <c r="K19" s="153">
        <f ca="1">'налог с ФОТ'!I6</f>
        <v>224349.28</v>
      </c>
      <c r="L19" s="153">
        <f ca="1">'налог с ФОТ'!J6</f>
        <v>237641.47</v>
      </c>
      <c r="M19" s="153">
        <f ca="1">'налог с ФОТ'!K6</f>
        <v>375929.79000000004</v>
      </c>
      <c r="N19" s="150">
        <f ca="1">'налог с ФОТ'!L6</f>
        <v>0</v>
      </c>
      <c r="O19" s="150">
        <f ca="1">'налог с ФОТ'!M6</f>
        <v>0</v>
      </c>
      <c r="P19" s="115">
        <f t="shared" si="0"/>
        <v>2230889.96</v>
      </c>
      <c r="Q19" s="116">
        <f t="shared" si="3"/>
        <v>2250000</v>
      </c>
      <c r="R19" s="152">
        <f t="shared" si="4"/>
        <v>19110.040000000037</v>
      </c>
    </row>
    <row r="20" spans="1:22" ht="30">
      <c r="A20" s="102" t="s">
        <v>35</v>
      </c>
      <c r="B20" s="119">
        <v>150000</v>
      </c>
      <c r="C20" s="109">
        <f t="shared" si="2"/>
        <v>12500</v>
      </c>
      <c r="D20" s="153">
        <f ca="1">'приобрт инвентаря и оборуд'!B27</f>
        <v>2200</v>
      </c>
      <c r="E20" s="153">
        <f ca="1">'приобрт инвентаря и оборуд'!C27</f>
        <v>3600</v>
      </c>
      <c r="F20" s="153">
        <f ca="1">'приобрт инвентаря и оборуд'!D27</f>
        <v>294</v>
      </c>
      <c r="G20" s="153">
        <f ca="1">'приобрт инвентаря и оборуд'!E27</f>
        <v>1846</v>
      </c>
      <c r="H20" s="153">
        <f ca="1">'приобрт инвентаря и оборуд'!F27</f>
        <v>3922</v>
      </c>
      <c r="I20" s="153">
        <f ca="1">'приобрт инвентаря и оборуд'!G27</f>
        <v>9630</v>
      </c>
      <c r="J20" s="153">
        <f ca="1">'приобрт инвентаря и оборуд'!H27</f>
        <v>8430</v>
      </c>
      <c r="K20" s="153">
        <f ca="1">'приобрт инвентаря и оборуд'!I27</f>
        <v>33866</v>
      </c>
      <c r="L20" s="153">
        <f ca="1">'приобрт инвентаря и оборуд'!J27</f>
        <v>0</v>
      </c>
      <c r="M20" s="153">
        <f ca="1">'приобрт инвентаря и оборуд'!K27</f>
        <v>1400</v>
      </c>
      <c r="N20" s="153">
        <f ca="1">'приобрт инвентаря и оборуд'!L27</f>
        <v>0</v>
      </c>
      <c r="O20" s="153">
        <f ca="1">'приобрт инвентаря и оборуд'!M27</f>
        <v>0</v>
      </c>
      <c r="P20" s="115">
        <f t="shared" si="0"/>
        <v>65188</v>
      </c>
      <c r="Q20" s="116">
        <f t="shared" si="3"/>
        <v>125000</v>
      </c>
      <c r="R20" s="152">
        <f t="shared" si="4"/>
        <v>59812</v>
      </c>
    </row>
    <row r="21" spans="1:22" ht="15.75">
      <c r="A21" s="149" t="s">
        <v>36</v>
      </c>
      <c r="B21" s="107">
        <v>5900000</v>
      </c>
      <c r="C21" s="109">
        <f t="shared" si="2"/>
        <v>491666.66666666669</v>
      </c>
      <c r="D21" s="150">
        <f ca="1">'вывоз мусора'!B10</f>
        <v>511000</v>
      </c>
      <c r="E21" s="150">
        <f ca="1">'вывоз мусора'!C10</f>
        <v>648938.98</v>
      </c>
      <c r="F21" s="150">
        <f ca="1">'вывоз мусора'!D10</f>
        <v>526195.01</v>
      </c>
      <c r="G21" s="150">
        <f ca="1">'вывоз мусора'!E10</f>
        <v>435911.97</v>
      </c>
      <c r="H21" s="150">
        <f ca="1">'вывоз мусора'!F10</f>
        <v>504911.97</v>
      </c>
      <c r="I21" s="150">
        <f ca="1">'вывоз мусора'!G10</f>
        <v>895911.97</v>
      </c>
      <c r="J21" s="150">
        <f ca="1">'вывоз мусора'!H10</f>
        <v>445911.97</v>
      </c>
      <c r="K21" s="150">
        <f ca="1">'вывоз мусора'!I10</f>
        <v>317711.3</v>
      </c>
      <c r="L21" s="150">
        <f ca="1">'вывоз мусора'!J10</f>
        <v>300017.63</v>
      </c>
      <c r="M21" s="150">
        <f ca="1">'вывоз мусора'!K10</f>
        <v>272323.96999999997</v>
      </c>
      <c r="N21" s="150">
        <f ca="1">'вывоз мусора'!L10</f>
        <v>0</v>
      </c>
      <c r="O21" s="150">
        <f ca="1">'вывоз мусора'!M10</f>
        <v>0</v>
      </c>
      <c r="P21" s="115">
        <f t="shared" si="0"/>
        <v>4858834.7699999986</v>
      </c>
      <c r="Q21" s="116">
        <f t="shared" si="3"/>
        <v>4916666.666666667</v>
      </c>
      <c r="R21" s="152">
        <f t="shared" si="4"/>
        <v>57831.896666668355</v>
      </c>
    </row>
    <row r="22" spans="1:22" ht="15.75">
      <c r="A22" s="149" t="s">
        <v>37</v>
      </c>
      <c r="B22" s="107">
        <v>7200000</v>
      </c>
      <c r="C22" s="109">
        <f t="shared" si="2"/>
        <v>600000</v>
      </c>
      <c r="D22" s="150">
        <f ca="1">'сод охраны'!B7</f>
        <v>550000</v>
      </c>
      <c r="E22" s="150">
        <f ca="1">'сод охраны'!C7</f>
        <v>550000</v>
      </c>
      <c r="F22" s="150">
        <f ca="1">'сод охраны'!D7</f>
        <v>600000</v>
      </c>
      <c r="G22" s="150">
        <f ca="1">'сод охраны'!E7</f>
        <v>600000</v>
      </c>
      <c r="H22" s="150">
        <f ca="1">'сод охраны'!F7</f>
        <v>600000</v>
      </c>
      <c r="I22" s="150">
        <f ca="1">'сод охраны'!G7</f>
        <v>600000</v>
      </c>
      <c r="J22" s="150">
        <f ca="1">'сод охраны'!H7</f>
        <v>600000</v>
      </c>
      <c r="K22" s="150">
        <f ca="1">'сод охраны'!I7</f>
        <v>600000</v>
      </c>
      <c r="L22" s="150">
        <f ca="1">'сод охраны'!J7</f>
        <v>600000</v>
      </c>
      <c r="M22" s="150">
        <f ca="1">'сод охраны'!K7</f>
        <v>600000</v>
      </c>
      <c r="N22" s="150">
        <f ca="1">'сод охраны'!L7</f>
        <v>0</v>
      </c>
      <c r="O22" s="150">
        <f ca="1">'сод охраны'!M7</f>
        <v>0</v>
      </c>
      <c r="P22" s="115">
        <f t="shared" si="0"/>
        <v>5900000</v>
      </c>
      <c r="Q22" s="116">
        <f t="shared" si="3"/>
        <v>6000000</v>
      </c>
      <c r="R22" s="152">
        <f t="shared" si="4"/>
        <v>100000</v>
      </c>
    </row>
    <row r="23" spans="1:22" ht="15.75">
      <c r="A23" s="102" t="s">
        <v>38</v>
      </c>
      <c r="B23" s="119">
        <v>250000</v>
      </c>
      <c r="C23" s="109">
        <f t="shared" si="2"/>
        <v>20833.333333333332</v>
      </c>
      <c r="D23" s="153">
        <f ca="1">'содерж газ оборуд'!B6</f>
        <v>0</v>
      </c>
      <c r="E23" s="153">
        <f ca="1">'содерж газ оборуд'!C6</f>
        <v>49367.72</v>
      </c>
      <c r="F23" s="153">
        <f ca="1">'содерж газ оборуд'!D6</f>
        <v>24683.86</v>
      </c>
      <c r="G23" s="153">
        <f ca="1">'содерж газ оборуд'!E6</f>
        <v>24683.86</v>
      </c>
      <c r="H23" s="153">
        <f ca="1">'содерж газ оборуд'!F6</f>
        <v>24683.86</v>
      </c>
      <c r="I23" s="153">
        <f ca="1">'содерж газ оборуд'!G6</f>
        <v>0</v>
      </c>
      <c r="J23" s="153">
        <f ca="1">'содерж газ оборуд'!H6</f>
        <v>0</v>
      </c>
      <c r="K23" s="153">
        <f ca="1">'содерж газ оборуд'!I6</f>
        <v>0</v>
      </c>
      <c r="L23" s="153">
        <f ca="1">'содерж газ оборуд'!J6</f>
        <v>0</v>
      </c>
      <c r="M23" s="153">
        <f ca="1">'содерж газ оборуд'!K6</f>
        <v>0</v>
      </c>
      <c r="N23" s="153">
        <f ca="1">'содерж газ оборуд'!L6</f>
        <v>0</v>
      </c>
      <c r="O23" s="153">
        <f ca="1">'содерж газ оборуд'!M6</f>
        <v>0</v>
      </c>
      <c r="P23" s="115">
        <f t="shared" si="0"/>
        <v>123419.3</v>
      </c>
      <c r="Q23" s="116">
        <f t="shared" si="3"/>
        <v>208333.33333333331</v>
      </c>
      <c r="R23" s="152">
        <f t="shared" si="4"/>
        <v>84914.033333333311</v>
      </c>
    </row>
    <row r="24" spans="1:22" ht="15.75">
      <c r="A24" s="149" t="s">
        <v>39</v>
      </c>
      <c r="B24" s="107">
        <v>300000</v>
      </c>
      <c r="C24" s="109">
        <f t="shared" si="2"/>
        <v>25000</v>
      </c>
      <c r="D24" s="150">
        <f ca="1">'сод сетей водоснабжения'!B31</f>
        <v>0</v>
      </c>
      <c r="E24" s="150">
        <f ca="1">'сод сетей водоснабжения'!C31</f>
        <v>25627</v>
      </c>
      <c r="F24" s="150">
        <f ca="1">'сод сетей водоснабжения'!D31</f>
        <v>27068</v>
      </c>
      <c r="G24" s="150">
        <f ca="1">'сод сетей водоснабжения'!E31</f>
        <v>24547</v>
      </c>
      <c r="H24" s="150">
        <f ca="1">'сод сетей водоснабжения'!F31</f>
        <v>30329</v>
      </c>
      <c r="I24" s="150">
        <f ca="1">'сод сетей водоснабжения'!G31</f>
        <v>1585</v>
      </c>
      <c r="J24" s="150">
        <f ca="1">'сод сетей водоснабжения'!H31</f>
        <v>641</v>
      </c>
      <c r="K24" s="150">
        <f ca="1">'сод сетей водоснабжения'!I31</f>
        <v>15425</v>
      </c>
      <c r="L24" s="150">
        <f ca="1">'сод сетей водоснабжения'!J31</f>
        <v>0</v>
      </c>
      <c r="M24" s="150">
        <f ca="1">'сод сетей водоснабжения'!K31</f>
        <v>0</v>
      </c>
      <c r="N24" s="150">
        <f ca="1">'сод сетей водоснабжения'!L31</f>
        <v>0</v>
      </c>
      <c r="O24" s="150">
        <f ca="1">'сод сетей водоснабжения'!M31</f>
        <v>0</v>
      </c>
      <c r="P24" s="115">
        <f t="shared" si="0"/>
        <v>125222</v>
      </c>
      <c r="Q24" s="116">
        <f t="shared" si="3"/>
        <v>250000</v>
      </c>
      <c r="R24" s="152">
        <f t="shared" si="4"/>
        <v>124778</v>
      </c>
    </row>
    <row r="25" spans="1:22" ht="15.75">
      <c r="A25" s="149" t="s">
        <v>64</v>
      </c>
      <c r="B25" s="107">
        <v>450000</v>
      </c>
      <c r="C25" s="109">
        <f t="shared" si="2"/>
        <v>37500</v>
      </c>
      <c r="D25" s="150">
        <f ca="1">канализация!B32</f>
        <v>18700</v>
      </c>
      <c r="E25" s="150">
        <f ca="1">канализация!C32</f>
        <v>43730</v>
      </c>
      <c r="F25" s="150">
        <f ca="1">канализация!D32</f>
        <v>51225</v>
      </c>
      <c r="G25" s="150">
        <f ca="1">канализация!E32</f>
        <v>33687</v>
      </c>
      <c r="H25" s="150">
        <f ca="1">канализация!F32</f>
        <v>16300</v>
      </c>
      <c r="I25" s="150">
        <f ca="1">канализация!G32</f>
        <v>50166.400000000001</v>
      </c>
      <c r="J25" s="150">
        <f ca="1">канализация!H32</f>
        <v>39260</v>
      </c>
      <c r="K25" s="150">
        <f ca="1">канализация!I32</f>
        <v>42486</v>
      </c>
      <c r="L25" s="150">
        <f ca="1">канализация!J32</f>
        <v>-13418.5</v>
      </c>
      <c r="M25" s="150">
        <f ca="1">канализация!K32</f>
        <v>83170</v>
      </c>
      <c r="N25" s="150">
        <f ca="1">канализация!L32</f>
        <v>0</v>
      </c>
      <c r="O25" s="150">
        <f ca="1">канализация!M32</f>
        <v>0</v>
      </c>
      <c r="P25" s="115">
        <f t="shared" si="0"/>
        <v>365305.9</v>
      </c>
      <c r="Q25" s="116">
        <f t="shared" si="3"/>
        <v>375000</v>
      </c>
      <c r="R25" s="152">
        <f t="shared" si="4"/>
        <v>9694.0999999999767</v>
      </c>
    </row>
    <row r="26" spans="1:22" ht="15.75">
      <c r="A26" s="149" t="s">
        <v>65</v>
      </c>
      <c r="B26" s="107">
        <v>1900000</v>
      </c>
      <c r="C26" s="109">
        <f t="shared" si="2"/>
        <v>158333.33333333334</v>
      </c>
      <c r="D26" s="150">
        <f ca="1">электроснабжение!B46</f>
        <v>82103.740000000005</v>
      </c>
      <c r="E26" s="150">
        <f ca="1">электроснабжение!C46</f>
        <v>80011.899999999994</v>
      </c>
      <c r="F26" s="150">
        <f ca="1">электроснабжение!D46</f>
        <v>130156.11</v>
      </c>
      <c r="G26" s="150">
        <f ca="1">электроснабжение!E46</f>
        <v>73282.55</v>
      </c>
      <c r="H26" s="150">
        <f ca="1">электроснабжение!F46</f>
        <v>179064.23</v>
      </c>
      <c r="I26" s="150">
        <f ca="1">электроснабжение!G46</f>
        <v>100748.04999999999</v>
      </c>
      <c r="J26" s="150">
        <f ca="1">электроснабжение!H46</f>
        <v>195606.11</v>
      </c>
      <c r="K26" s="150">
        <f ca="1">электроснабжение!I46</f>
        <v>206548.12000000002</v>
      </c>
      <c r="L26" s="150">
        <f ca="1">электроснабжение!J46</f>
        <v>213098.7</v>
      </c>
      <c r="M26" s="150">
        <f ca="1">электроснабжение!K46</f>
        <v>169635.84</v>
      </c>
      <c r="N26" s="150">
        <f ca="1">электроснабжение!L46</f>
        <v>0</v>
      </c>
      <c r="O26" s="150">
        <f ca="1">электроснабжение!M46</f>
        <v>0</v>
      </c>
      <c r="P26" s="115">
        <f t="shared" si="0"/>
        <v>1430255.35</v>
      </c>
      <c r="Q26" s="116">
        <f t="shared" si="3"/>
        <v>1583333.3333333335</v>
      </c>
      <c r="R26" s="152">
        <f t="shared" si="4"/>
        <v>153077.9833333334</v>
      </c>
      <c r="V26" t="s">
        <v>66</v>
      </c>
    </row>
    <row r="27" spans="1:22" ht="30">
      <c r="A27" s="149" t="s">
        <v>44</v>
      </c>
      <c r="B27" s="107">
        <v>300000</v>
      </c>
      <c r="C27" s="109">
        <f t="shared" si="2"/>
        <v>25000</v>
      </c>
      <c r="D27" s="150">
        <f ca="1">'содерж дорог'!B45</f>
        <v>7978</v>
      </c>
      <c r="E27" s="150">
        <f ca="1">'содерж дорог'!C45</f>
        <v>33350</v>
      </c>
      <c r="F27" s="150">
        <f ca="1">'содерж дорог'!D45</f>
        <v>1300</v>
      </c>
      <c r="G27" s="150">
        <f ca="1">'содерж дорог'!E45</f>
        <v>0</v>
      </c>
      <c r="H27" s="150">
        <f ca="1">'содерж дорог'!F45</f>
        <v>111865</v>
      </c>
      <c r="I27" s="150">
        <f ca="1">'содерж дорог'!G45</f>
        <v>32420</v>
      </c>
      <c r="J27" s="150">
        <f ca="1">'содерж дорог'!H45</f>
        <v>9278</v>
      </c>
      <c r="K27" s="150">
        <f ca="1">'содерж дорог'!I45</f>
        <v>67665.959999999992</v>
      </c>
      <c r="L27" s="150">
        <f ca="1">'содерж дорог'!J45</f>
        <v>106863</v>
      </c>
      <c r="M27" s="150">
        <f ca="1">'содерж дорог'!K45</f>
        <v>24720</v>
      </c>
      <c r="N27" s="150">
        <f ca="1">'содерж дорог'!L45</f>
        <v>0</v>
      </c>
      <c r="O27" s="150">
        <f ca="1">'содерж дорог'!M45</f>
        <v>0</v>
      </c>
      <c r="P27" s="115">
        <f t="shared" si="0"/>
        <v>395439.95999999996</v>
      </c>
      <c r="Q27" s="116">
        <f t="shared" si="3"/>
        <v>250000</v>
      </c>
      <c r="R27" s="152">
        <f t="shared" si="4"/>
        <v>-145439.95999999996</v>
      </c>
    </row>
    <row r="28" spans="1:22" ht="15.75">
      <c r="A28" s="149" t="s">
        <v>67</v>
      </c>
      <c r="B28" s="107">
        <v>800000</v>
      </c>
      <c r="C28" s="109" t="s">
        <v>68</v>
      </c>
      <c r="D28" s="150">
        <f ca="1">'ямочный ремонт'!B11</f>
        <v>276954</v>
      </c>
      <c r="E28" s="150">
        <f ca="1">'ямочный ремонт'!C11</f>
        <v>516693</v>
      </c>
      <c r="F28" s="150">
        <f ca="1">'ямочный ремонт'!D11</f>
        <v>0</v>
      </c>
      <c r="G28" s="150">
        <f ca="1">'ямочный ремонт'!E11</f>
        <v>0</v>
      </c>
      <c r="H28" s="150">
        <f ca="1">'ямочный ремонт'!F11</f>
        <v>0</v>
      </c>
      <c r="I28" s="150">
        <v>0</v>
      </c>
      <c r="J28" s="150">
        <v>0</v>
      </c>
      <c r="K28" s="150">
        <v>0</v>
      </c>
      <c r="L28" s="150">
        <v>0</v>
      </c>
      <c r="M28" s="150">
        <v>0</v>
      </c>
      <c r="N28" s="150">
        <v>0</v>
      </c>
      <c r="O28" s="150">
        <v>0</v>
      </c>
      <c r="P28" s="115">
        <f t="shared" si="0"/>
        <v>793647</v>
      </c>
      <c r="Q28" s="155">
        <f>B28</f>
        <v>800000</v>
      </c>
      <c r="R28" s="152">
        <f t="shared" si="4"/>
        <v>6353</v>
      </c>
    </row>
    <row r="29" spans="1:22" ht="15.75">
      <c r="A29" s="149" t="s">
        <v>45</v>
      </c>
      <c r="B29" s="107">
        <v>300000</v>
      </c>
      <c r="C29" s="109">
        <f t="shared" si="2"/>
        <v>25000</v>
      </c>
      <c r="D29" s="150">
        <f ca="1">благоустройство!B62</f>
        <v>23190</v>
      </c>
      <c r="E29" s="150">
        <f ca="1">благоустройство!C62</f>
        <v>34463</v>
      </c>
      <c r="F29" s="150">
        <f ca="1">благоустройство!D62</f>
        <v>11200</v>
      </c>
      <c r="G29" s="150">
        <f ca="1">благоустройство!E62</f>
        <v>6131.49</v>
      </c>
      <c r="H29" s="150">
        <f ca="1">благоустройство!F62</f>
        <v>18420</v>
      </c>
      <c r="I29" s="150">
        <f ca="1">благоустройство!G62</f>
        <v>4520.7</v>
      </c>
      <c r="J29" s="150">
        <f ca="1">благоустройство!H62</f>
        <v>29862.73</v>
      </c>
      <c r="K29" s="150">
        <f ca="1">благоустройство!I62</f>
        <v>381</v>
      </c>
      <c r="L29" s="150">
        <f ca="1">благоустройство!J62</f>
        <v>0</v>
      </c>
      <c r="M29" s="150">
        <f ca="1">благоустройство!K62</f>
        <v>0</v>
      </c>
      <c r="N29" s="150">
        <f ca="1">благоустройство!L62</f>
        <v>0</v>
      </c>
      <c r="O29" s="150">
        <f ca="1">благоустройство!M62</f>
        <v>0</v>
      </c>
      <c r="P29" s="115">
        <f t="shared" si="0"/>
        <v>128168.92</v>
      </c>
      <c r="Q29" s="116">
        <f t="shared" si="3"/>
        <v>250000</v>
      </c>
      <c r="R29" s="152">
        <f t="shared" si="4"/>
        <v>121831.08</v>
      </c>
    </row>
    <row r="30" spans="1:22" ht="15.75">
      <c r="A30" s="149" t="s">
        <v>69</v>
      </c>
      <c r="B30" s="107">
        <v>770000</v>
      </c>
      <c r="C30" s="109" t="s">
        <v>68</v>
      </c>
      <c r="D30" s="150"/>
      <c r="E30" s="150"/>
      <c r="F30" s="150"/>
      <c r="G30" s="150"/>
      <c r="H30" s="150"/>
      <c r="I30" s="150"/>
      <c r="J30" s="150"/>
      <c r="K30" s="150"/>
      <c r="L30" s="150">
        <f>669900+100100</f>
        <v>770000</v>
      </c>
      <c r="M30" s="150"/>
      <c r="N30" s="150"/>
      <c r="O30" s="150"/>
      <c r="P30" s="115">
        <f t="shared" si="0"/>
        <v>770000</v>
      </c>
      <c r="Q30" s="155">
        <f>B30</f>
        <v>770000</v>
      </c>
      <c r="R30" s="152">
        <f t="shared" si="4"/>
        <v>0</v>
      </c>
    </row>
    <row r="31" spans="1:22" ht="15.75">
      <c r="A31" s="156" t="s">
        <v>70</v>
      </c>
      <c r="B31" s="118">
        <v>230000</v>
      </c>
      <c r="C31" s="157" t="s">
        <v>68</v>
      </c>
      <c r="D31" s="158"/>
      <c r="E31" s="158"/>
      <c r="F31" s="158"/>
      <c r="G31" s="158"/>
      <c r="H31" s="158"/>
      <c r="I31" s="158"/>
      <c r="J31" s="158"/>
      <c r="K31" s="158"/>
      <c r="L31" s="158"/>
      <c r="M31" s="158">
        <v>231000</v>
      </c>
      <c r="N31" s="158"/>
      <c r="O31" s="158"/>
      <c r="P31" s="115">
        <f t="shared" si="0"/>
        <v>231000</v>
      </c>
      <c r="Q31" s="155">
        <f>B31</f>
        <v>230000</v>
      </c>
      <c r="R31" s="152">
        <f t="shared" si="4"/>
        <v>-1000</v>
      </c>
    </row>
    <row r="32" spans="1:22" ht="15.75">
      <c r="A32" s="149" t="s">
        <v>71</v>
      </c>
      <c r="B32" s="107">
        <v>210000</v>
      </c>
      <c r="C32" s="109" t="s">
        <v>68</v>
      </c>
      <c r="D32" s="150">
        <v>105000</v>
      </c>
      <c r="E32" s="150"/>
      <c r="F32" s="150">
        <v>105000</v>
      </c>
      <c r="G32" s="150"/>
      <c r="H32" s="150"/>
      <c r="I32" s="150"/>
      <c r="J32" s="150"/>
      <c r="K32" s="150"/>
      <c r="L32" s="150"/>
      <c r="M32" s="150"/>
      <c r="N32" s="150"/>
      <c r="O32" s="150"/>
      <c r="P32" s="115">
        <f t="shared" si="0"/>
        <v>210000</v>
      </c>
      <c r="Q32" s="155">
        <f>B32</f>
        <v>210000</v>
      </c>
      <c r="R32" s="152">
        <f t="shared" si="4"/>
        <v>0</v>
      </c>
    </row>
    <row r="33" spans="1:19" ht="15.75">
      <c r="A33" s="149" t="s">
        <v>47</v>
      </c>
      <c r="B33" s="107">
        <v>1571000</v>
      </c>
      <c r="C33" s="109">
        <f t="shared" si="2"/>
        <v>130916.66666666667</v>
      </c>
      <c r="D33" s="150">
        <f ca="1">'резервный фонд'!B66</f>
        <v>50000</v>
      </c>
      <c r="E33" s="150">
        <f ca="1">'резервный фонд'!C66</f>
        <v>106408</v>
      </c>
      <c r="F33" s="150">
        <f ca="1">'резервный фонд'!D66</f>
        <v>313600</v>
      </c>
      <c r="G33" s="150">
        <f ca="1">'резервный фонд'!E66</f>
        <v>309560</v>
      </c>
      <c r="H33" s="150">
        <f ca="1">'резервный фонд'!F66</f>
        <v>257215</v>
      </c>
      <c r="I33" s="150">
        <f ca="1">'резервный фонд'!G66</f>
        <v>78000</v>
      </c>
      <c r="J33" s="150">
        <f ca="1">'резервный фонд'!H66</f>
        <v>189297.33000000002</v>
      </c>
      <c r="K33" s="150">
        <f ca="1">'резервный фонд'!I66</f>
        <v>399600</v>
      </c>
      <c r="L33" s="150">
        <f ca="1">'резервный фонд'!J66</f>
        <v>0</v>
      </c>
      <c r="M33" s="150">
        <f ca="1">'резервный фонд'!K66</f>
        <v>9810</v>
      </c>
      <c r="N33" s="150">
        <f ca="1">'резервный фонд'!L66</f>
        <v>0</v>
      </c>
      <c r="O33" s="150">
        <f ca="1">'резервный фонд'!M66</f>
        <v>0</v>
      </c>
      <c r="P33" s="115">
        <f t="shared" si="0"/>
        <v>1713490.33</v>
      </c>
      <c r="Q33" s="115">
        <f>C33*Q2</f>
        <v>1309166.6666666667</v>
      </c>
      <c r="R33" s="152">
        <f t="shared" si="4"/>
        <v>-404323.66333333333</v>
      </c>
      <c r="S33" s="86"/>
    </row>
    <row r="34" spans="1:19" ht="31.5">
      <c r="A34" s="140" t="s">
        <v>72</v>
      </c>
      <c r="B34" s="151">
        <f>SUM(B14:B33)</f>
        <v>32991000</v>
      </c>
      <c r="C34" s="151">
        <f>SUM(C14:C33)</f>
        <v>2531750.0000000005</v>
      </c>
      <c r="D34" s="151">
        <f t="shared" ref="D34:R34" si="5">SUM(D14:D33)</f>
        <v>2635468.3200000003</v>
      </c>
      <c r="E34" s="151">
        <f t="shared" si="5"/>
        <v>3102221.0100000002</v>
      </c>
      <c r="F34" s="151">
        <f t="shared" si="5"/>
        <v>2754579.6699999995</v>
      </c>
      <c r="G34" s="151">
        <f t="shared" si="5"/>
        <v>2482691.1700000004</v>
      </c>
      <c r="H34" s="151">
        <f t="shared" si="5"/>
        <v>2754950.57</v>
      </c>
      <c r="I34" s="151">
        <f t="shared" si="5"/>
        <v>2824771.13</v>
      </c>
      <c r="J34" s="151">
        <f t="shared" si="5"/>
        <v>2450569.7200000002</v>
      </c>
      <c r="K34" s="151">
        <f t="shared" si="5"/>
        <v>2772436.17</v>
      </c>
      <c r="L34" s="151">
        <f t="shared" si="5"/>
        <v>3130628.3200000003</v>
      </c>
      <c r="M34" s="151">
        <f t="shared" si="5"/>
        <v>2531372.1800000002</v>
      </c>
      <c r="N34" s="151">
        <f t="shared" si="5"/>
        <v>0</v>
      </c>
      <c r="O34" s="151">
        <f t="shared" si="5"/>
        <v>0</v>
      </c>
      <c r="P34" s="151">
        <f t="shared" si="5"/>
        <v>27439688.260000005</v>
      </c>
      <c r="Q34" s="151">
        <f t="shared" si="5"/>
        <v>27927500</v>
      </c>
      <c r="R34" s="151">
        <f t="shared" si="5"/>
        <v>487811.74000000127</v>
      </c>
      <c r="S34" s="86"/>
    </row>
    <row r="35" spans="1:19" ht="31.5">
      <c r="A35" s="140" t="s">
        <v>73</v>
      </c>
      <c r="B35" s="151">
        <f>SUM(B36:B42)</f>
        <v>11680000</v>
      </c>
      <c r="C35" s="151"/>
      <c r="D35" s="151">
        <f>SUM(D36:D42)</f>
        <v>271459</v>
      </c>
      <c r="E35" s="151">
        <f t="shared" ref="E35:P35" si="6">SUM(E36:E42)</f>
        <v>2085000</v>
      </c>
      <c r="F35" s="151">
        <f t="shared" si="6"/>
        <v>0</v>
      </c>
      <c r="G35" s="151">
        <f t="shared" si="6"/>
        <v>1463172</v>
      </c>
      <c r="H35" s="151">
        <f t="shared" si="6"/>
        <v>0</v>
      </c>
      <c r="I35" s="151">
        <f t="shared" si="6"/>
        <v>2229432</v>
      </c>
      <c r="J35" s="151">
        <f t="shared" si="6"/>
        <v>639750</v>
      </c>
      <c r="K35" s="151">
        <f t="shared" si="6"/>
        <v>856350</v>
      </c>
      <c r="L35" s="151">
        <f t="shared" si="6"/>
        <v>0</v>
      </c>
      <c r="M35" s="151">
        <f t="shared" si="6"/>
        <v>953515</v>
      </c>
      <c r="N35" s="151">
        <f t="shared" si="6"/>
        <v>0</v>
      </c>
      <c r="O35" s="151">
        <f t="shared" si="6"/>
        <v>0</v>
      </c>
      <c r="P35" s="151">
        <f t="shared" si="6"/>
        <v>8498678</v>
      </c>
      <c r="Q35" s="151"/>
      <c r="R35" s="151"/>
      <c r="S35" s="86"/>
    </row>
    <row r="36" spans="1:19" ht="15.75">
      <c r="A36" s="102" t="s">
        <v>74</v>
      </c>
      <c r="B36" s="119">
        <v>6000000</v>
      </c>
      <c r="C36" s="159" t="s">
        <v>68</v>
      </c>
      <c r="D36" s="153">
        <f ca="1">'Ремонт водопров.'!B17</f>
        <v>0</v>
      </c>
      <c r="E36" s="153">
        <f ca="1">'Ремонт водопров.'!C17</f>
        <v>1985000</v>
      </c>
      <c r="F36" s="153">
        <f ca="1">'Ремонт водопров.'!D17</f>
        <v>0</v>
      </c>
      <c r="G36" s="153">
        <f ca="1">'Ремонт водопров.'!E17</f>
        <v>1463172</v>
      </c>
      <c r="H36" s="153">
        <f ca="1">'Ремонт водопров.'!F17</f>
        <v>0</v>
      </c>
      <c r="I36" s="153">
        <f ca="1">'Ремонт водопров.'!G17</f>
        <v>949932</v>
      </c>
      <c r="J36" s="153">
        <f ca="1">'Ремонт водопров.'!H17</f>
        <v>0</v>
      </c>
      <c r="K36" s="153">
        <f ca="1">'Ремонт водопров.'!I17</f>
        <v>0</v>
      </c>
      <c r="L36" s="153">
        <f ca="1">'Ремонт водопров.'!J17</f>
        <v>0</v>
      </c>
      <c r="M36" s="153">
        <f ca="1">'Ремонт водопров.'!K17</f>
        <v>953515</v>
      </c>
      <c r="N36" s="153">
        <v>0</v>
      </c>
      <c r="O36" s="153">
        <v>0</v>
      </c>
      <c r="P36" s="151">
        <f>SUM(D36:O36)</f>
        <v>5351619</v>
      </c>
      <c r="Q36" s="155">
        <f>B36</f>
        <v>6000000</v>
      </c>
      <c r="R36" s="160">
        <f t="shared" ref="R36:R42" si="7">B36-P36</f>
        <v>648381</v>
      </c>
    </row>
    <row r="37" spans="1:19" ht="30">
      <c r="A37" s="102" t="s">
        <v>75</v>
      </c>
      <c r="B37" s="119">
        <v>1130000</v>
      </c>
      <c r="C37" s="159" t="s">
        <v>68</v>
      </c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1"/>
      <c r="Q37" s="155"/>
      <c r="R37" s="160">
        <f t="shared" si="7"/>
        <v>1130000</v>
      </c>
    </row>
    <row r="38" spans="1:19" ht="15.75">
      <c r="A38" s="149" t="s">
        <v>76</v>
      </c>
      <c r="B38" s="107">
        <v>850000</v>
      </c>
      <c r="C38" s="109" t="s">
        <v>68</v>
      </c>
      <c r="D38" s="150">
        <f ca="1">Лиц.скважин!B18</f>
        <v>0</v>
      </c>
      <c r="E38" s="150">
        <f ca="1">Лиц.скважин!C18</f>
        <v>0</v>
      </c>
      <c r="F38" s="150">
        <f ca="1">Лиц.скважин!D18</f>
        <v>0</v>
      </c>
      <c r="G38" s="150">
        <f ca="1">Лиц.скважин!E18</f>
        <v>0</v>
      </c>
      <c r="H38" s="150">
        <f ca="1">Лиц.скважин!F18</f>
        <v>0</v>
      </c>
      <c r="I38" s="150">
        <f ca="1">Лиц.скважин!G18</f>
        <v>0</v>
      </c>
      <c r="J38" s="150">
        <f ca="1">Лиц.скважин!H18</f>
        <v>0</v>
      </c>
      <c r="K38" s="150">
        <f ca="1">Лиц.скважин!I18</f>
        <v>0</v>
      </c>
      <c r="L38" s="150">
        <f ca="1">Лиц.скважин!J18</f>
        <v>0</v>
      </c>
      <c r="M38" s="150">
        <f ca="1">Лиц.скважин!K18</f>
        <v>0</v>
      </c>
      <c r="N38" s="150">
        <f ca="1">Лиц.скважин!L18</f>
        <v>0</v>
      </c>
      <c r="O38" s="150">
        <f ca="1">Лиц.скважин!M18</f>
        <v>0</v>
      </c>
      <c r="P38" s="115">
        <f>SUM(D38:O38)</f>
        <v>0</v>
      </c>
      <c r="Q38" s="155">
        <f>B38</f>
        <v>850000</v>
      </c>
      <c r="R38" s="152">
        <f t="shared" si="7"/>
        <v>850000</v>
      </c>
    </row>
    <row r="39" spans="1:19" ht="15.75">
      <c r="A39" s="149" t="s">
        <v>77</v>
      </c>
      <c r="B39" s="107">
        <v>2500000</v>
      </c>
      <c r="C39" s="109" t="s">
        <v>68</v>
      </c>
      <c r="D39" s="150"/>
      <c r="E39" s="150"/>
      <c r="F39" s="150"/>
      <c r="G39" s="150"/>
      <c r="H39" s="150"/>
      <c r="I39" s="150">
        <f>600000+679500</f>
        <v>1279500</v>
      </c>
      <c r="J39" s="150">
        <v>639750</v>
      </c>
      <c r="K39" s="150">
        <v>531350</v>
      </c>
      <c r="L39" s="150"/>
      <c r="M39" s="150"/>
      <c r="N39" s="150"/>
      <c r="O39" s="150"/>
      <c r="P39" s="115">
        <f>SUM(D39:O39)</f>
        <v>2450600</v>
      </c>
      <c r="Q39" s="155">
        <f>B39</f>
        <v>2500000</v>
      </c>
      <c r="R39" s="152">
        <f t="shared" si="7"/>
        <v>49400</v>
      </c>
    </row>
    <row r="40" spans="1:19" ht="15.75">
      <c r="A40" s="149" t="s">
        <v>78</v>
      </c>
      <c r="B40" s="107">
        <v>500000</v>
      </c>
      <c r="C40" s="109" t="s">
        <v>68</v>
      </c>
      <c r="D40" s="150">
        <f ca="1">'Оформление земли'!B17</f>
        <v>0</v>
      </c>
      <c r="E40" s="150">
        <f ca="1">'Оформление земли'!C17</f>
        <v>100000</v>
      </c>
      <c r="F40" s="150">
        <f ca="1">'Оформление земли'!D17</f>
        <v>0</v>
      </c>
      <c r="G40" s="150">
        <f ca="1">'Оформление земли'!E17</f>
        <v>0</v>
      </c>
      <c r="H40" s="150">
        <f ca="1">'Оформление земли'!F17</f>
        <v>0</v>
      </c>
      <c r="I40" s="150">
        <f ca="1">'Оформление земли'!G17</f>
        <v>0</v>
      </c>
      <c r="J40" s="150">
        <f ca="1">'Оформление земли'!H17</f>
        <v>0</v>
      </c>
      <c r="K40" s="150">
        <f ca="1">'Оформление земли'!I17</f>
        <v>325000</v>
      </c>
      <c r="L40" s="150">
        <f ca="1">'Оформление земли'!J17</f>
        <v>0</v>
      </c>
      <c r="M40" s="150">
        <f ca="1">'Оформление земли'!K17</f>
        <v>0</v>
      </c>
      <c r="N40" s="150">
        <f ca="1">'Оформление земли'!L17</f>
        <v>0</v>
      </c>
      <c r="O40" s="150">
        <f ca="1">'Оформление земли'!M17</f>
        <v>0</v>
      </c>
      <c r="P40" s="115">
        <f>SUM(D40:O40)</f>
        <v>425000</v>
      </c>
      <c r="Q40" s="155">
        <f>B40</f>
        <v>500000</v>
      </c>
      <c r="R40" s="152">
        <f t="shared" si="7"/>
        <v>75000</v>
      </c>
    </row>
    <row r="41" spans="1:19" ht="15.75">
      <c r="A41" s="149" t="s">
        <v>79</v>
      </c>
      <c r="B41" s="107">
        <v>300000</v>
      </c>
      <c r="C41" s="109" t="s">
        <v>68</v>
      </c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15">
        <f>SUM(D41:O41)</f>
        <v>0</v>
      </c>
      <c r="Q41" s="155">
        <f>B41</f>
        <v>300000</v>
      </c>
      <c r="R41" s="152">
        <f t="shared" si="7"/>
        <v>300000</v>
      </c>
    </row>
    <row r="42" spans="1:19" ht="15.75">
      <c r="A42" s="156" t="s">
        <v>80</v>
      </c>
      <c r="B42" s="127">
        <v>400000</v>
      </c>
      <c r="C42" s="128" t="s">
        <v>68</v>
      </c>
      <c r="D42" s="161">
        <v>271459</v>
      </c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30">
        <f>SUM(D42:O42)</f>
        <v>271459</v>
      </c>
      <c r="Q42" s="162">
        <f>B42</f>
        <v>400000</v>
      </c>
      <c r="R42" s="163">
        <f t="shared" si="7"/>
        <v>128541</v>
      </c>
    </row>
    <row r="43" spans="1:19" ht="15.75">
      <c r="A43" s="164" t="s">
        <v>48</v>
      </c>
      <c r="B43" s="165">
        <f>B34+B35</f>
        <v>44671000</v>
      </c>
      <c r="C43" s="165"/>
      <c r="D43" s="165">
        <f t="shared" ref="D43:R43" si="8">D34+D35</f>
        <v>2906927.3200000003</v>
      </c>
      <c r="E43" s="165">
        <f t="shared" si="8"/>
        <v>5187221.01</v>
      </c>
      <c r="F43" s="165">
        <f t="shared" si="8"/>
        <v>2754579.6699999995</v>
      </c>
      <c r="G43" s="165">
        <f t="shared" si="8"/>
        <v>3945863.1700000004</v>
      </c>
      <c r="H43" s="165">
        <f t="shared" si="8"/>
        <v>2754950.57</v>
      </c>
      <c r="I43" s="165">
        <f t="shared" si="8"/>
        <v>5054203.13</v>
      </c>
      <c r="J43" s="165">
        <f t="shared" si="8"/>
        <v>3090319.72</v>
      </c>
      <c r="K43" s="165">
        <f t="shared" si="8"/>
        <v>3628786.17</v>
      </c>
      <c r="L43" s="165">
        <f t="shared" si="8"/>
        <v>3130628.3200000003</v>
      </c>
      <c r="M43" s="165">
        <f t="shared" si="8"/>
        <v>3484887.18</v>
      </c>
      <c r="N43" s="165">
        <f t="shared" si="8"/>
        <v>0</v>
      </c>
      <c r="O43" s="165">
        <f t="shared" si="8"/>
        <v>0</v>
      </c>
      <c r="P43" s="165">
        <f t="shared" si="8"/>
        <v>35938366.260000005</v>
      </c>
      <c r="Q43" s="165">
        <f t="shared" si="8"/>
        <v>27927500</v>
      </c>
      <c r="R43" s="165">
        <f t="shared" si="8"/>
        <v>487811.74000000127</v>
      </c>
    </row>
    <row r="45" spans="1:19" s="166" customFormat="1">
      <c r="A45" s="167"/>
      <c r="B45" s="168"/>
      <c r="C45" s="168"/>
      <c r="D45" s="168"/>
      <c r="E45" s="168"/>
      <c r="F45" s="168"/>
      <c r="G45" s="169"/>
      <c r="H45" s="169"/>
      <c r="I45" s="169"/>
      <c r="J45" s="169"/>
      <c r="K45" s="169"/>
      <c r="L45" s="169"/>
      <c r="M45" s="169"/>
      <c r="N45" s="169"/>
      <c r="O45" s="169"/>
      <c r="P45" s="168"/>
      <c r="Q45" s="168"/>
      <c r="R45" s="168"/>
    </row>
    <row r="46" spans="1:19" s="170" customFormat="1">
      <c r="A46" s="167"/>
      <c r="B46" s="168"/>
      <c r="C46" s="168"/>
      <c r="D46" s="168"/>
      <c r="E46" s="168"/>
      <c r="F46" s="168"/>
      <c r="G46" s="169"/>
      <c r="H46" s="169"/>
      <c r="I46" s="169"/>
      <c r="J46" s="169"/>
      <c r="K46" s="169"/>
      <c r="L46" s="169"/>
      <c r="M46" s="169"/>
      <c r="N46" s="169"/>
      <c r="O46" s="169"/>
      <c r="P46" s="168"/>
      <c r="Q46" s="168"/>
      <c r="R46" s="168"/>
      <c r="S46" s="166"/>
    </row>
    <row r="47" spans="1:19" s="170" customFormat="1">
      <c r="A47" s="171"/>
      <c r="B47" s="172"/>
      <c r="C47" s="172"/>
      <c r="D47" s="172"/>
      <c r="E47" s="172"/>
      <c r="F47" s="172"/>
      <c r="G47" s="173"/>
      <c r="H47" s="173"/>
      <c r="I47" s="173"/>
      <c r="J47" s="173"/>
      <c r="K47" s="173"/>
      <c r="L47" s="173"/>
      <c r="M47" s="173"/>
      <c r="N47" s="173"/>
      <c r="O47" s="173"/>
      <c r="P47" s="172"/>
      <c r="Q47" s="172"/>
      <c r="R47" s="172"/>
      <c r="S47" s="166"/>
    </row>
    <row r="48" spans="1:19" s="166" customFormat="1">
      <c r="A48" s="167"/>
      <c r="B48" s="168"/>
      <c r="C48" s="168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2"/>
      <c r="Q48" s="172"/>
      <c r="R48" s="172"/>
    </row>
    <row r="49" spans="1:19" s="166" customFormat="1">
      <c r="A49" s="167"/>
      <c r="B49" s="168"/>
      <c r="C49" s="168"/>
      <c r="D49" s="173"/>
      <c r="E49" s="173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68"/>
      <c r="Q49" s="172"/>
      <c r="R49" s="172"/>
    </row>
    <row r="50" spans="1:19" s="170" customFormat="1">
      <c r="A50" s="171"/>
      <c r="B50" s="172"/>
      <c r="C50" s="172"/>
      <c r="D50" s="172"/>
      <c r="E50" s="172"/>
      <c r="F50" s="172"/>
      <c r="G50" s="173"/>
      <c r="H50" s="173"/>
      <c r="I50" s="173"/>
      <c r="J50" s="173"/>
      <c r="K50" s="173"/>
      <c r="L50" s="173"/>
      <c r="M50" s="173"/>
      <c r="N50" s="173"/>
      <c r="O50" s="173"/>
      <c r="P50" s="172"/>
      <c r="Q50" s="172"/>
      <c r="R50" s="172"/>
      <c r="S50" s="166"/>
    </row>
    <row r="51" spans="1:19" s="170" customFormat="1">
      <c r="A51" s="167"/>
      <c r="B51" s="168"/>
      <c r="C51" s="168"/>
      <c r="D51" s="173"/>
      <c r="E51" s="168"/>
      <c r="F51" s="168"/>
      <c r="G51" s="169"/>
      <c r="H51" s="169"/>
      <c r="I51" s="169"/>
      <c r="J51" s="169"/>
      <c r="K51" s="169"/>
      <c r="L51" s="169"/>
      <c r="M51" s="169"/>
      <c r="N51" s="169"/>
      <c r="O51" s="169"/>
      <c r="P51" s="168"/>
      <c r="Q51" s="172"/>
      <c r="R51" s="172"/>
      <c r="S51" s="166"/>
    </row>
    <row r="52" spans="1:19" s="170" customFormat="1">
      <c r="A52" s="167"/>
      <c r="B52" s="172"/>
      <c r="C52" s="172"/>
      <c r="D52" s="168"/>
      <c r="E52" s="168"/>
      <c r="F52" s="172"/>
      <c r="G52" s="173"/>
      <c r="H52" s="173"/>
      <c r="I52" s="173"/>
      <c r="J52" s="173"/>
      <c r="K52" s="173"/>
      <c r="L52" s="173"/>
      <c r="M52" s="173"/>
      <c r="N52" s="173"/>
      <c r="O52" s="173"/>
      <c r="P52" s="172"/>
      <c r="Q52" s="172"/>
      <c r="R52" s="172"/>
      <c r="S52" s="166"/>
    </row>
    <row r="53" spans="1:19" s="170" customFormat="1">
      <c r="A53" s="171"/>
      <c r="B53" s="172"/>
      <c r="C53" s="172"/>
      <c r="D53" s="168"/>
      <c r="E53" s="172"/>
      <c r="F53" s="168"/>
      <c r="G53" s="173"/>
      <c r="H53" s="173"/>
      <c r="I53" s="173"/>
      <c r="J53" s="173"/>
      <c r="K53" s="173"/>
      <c r="L53" s="173"/>
      <c r="M53" s="173"/>
      <c r="N53" s="173"/>
      <c r="O53" s="173"/>
      <c r="P53" s="172"/>
      <c r="Q53" s="172"/>
      <c r="R53" s="172"/>
      <c r="S53" s="166"/>
    </row>
    <row r="54" spans="1:19" s="170" customFormat="1">
      <c r="A54" s="171"/>
      <c r="B54" s="172"/>
      <c r="C54" s="172"/>
      <c r="D54" s="168"/>
      <c r="E54" s="168"/>
      <c r="F54" s="172"/>
      <c r="G54" s="173"/>
      <c r="H54" s="173"/>
      <c r="I54" s="173"/>
      <c r="J54" s="173"/>
      <c r="K54" s="173"/>
      <c r="L54" s="173"/>
      <c r="M54" s="173"/>
      <c r="N54" s="173"/>
      <c r="O54" s="173"/>
      <c r="P54" s="172"/>
      <c r="Q54" s="172"/>
      <c r="R54" s="172"/>
      <c r="S54" s="166"/>
    </row>
    <row r="55" spans="1:19" s="170" customFormat="1">
      <c r="A55" s="171"/>
      <c r="B55" s="172"/>
      <c r="C55" s="172"/>
      <c r="D55" s="168"/>
      <c r="E55" s="168"/>
      <c r="F55" s="172"/>
      <c r="G55" s="173"/>
      <c r="H55" s="173"/>
      <c r="I55" s="173"/>
      <c r="J55" s="173"/>
      <c r="K55" s="173"/>
      <c r="L55" s="173"/>
      <c r="M55" s="173"/>
      <c r="N55" s="173"/>
      <c r="O55" s="173"/>
      <c r="P55" s="172"/>
      <c r="Q55" s="172"/>
      <c r="R55" s="172"/>
      <c r="S55" s="166"/>
    </row>
    <row r="56" spans="1:19" s="170" customFormat="1">
      <c r="A56" s="171"/>
      <c r="B56" s="172"/>
      <c r="C56" s="172"/>
      <c r="D56" s="168"/>
      <c r="E56" s="168"/>
      <c r="F56" s="172"/>
      <c r="G56" s="173"/>
      <c r="H56" s="173"/>
      <c r="I56" s="173"/>
      <c r="J56" s="173"/>
      <c r="K56" s="173"/>
      <c r="L56" s="173"/>
      <c r="M56" s="173"/>
      <c r="N56" s="173"/>
      <c r="O56" s="175"/>
      <c r="P56" s="176"/>
      <c r="Q56" s="172"/>
      <c r="R56" s="172"/>
      <c r="S56" s="166"/>
    </row>
    <row r="57" spans="1:19" s="170" customFormat="1">
      <c r="A57" s="171"/>
      <c r="B57" s="172"/>
      <c r="C57" s="172"/>
      <c r="D57" s="168"/>
      <c r="E57" s="172"/>
      <c r="F57" s="172"/>
      <c r="G57" s="173"/>
      <c r="H57" s="173"/>
      <c r="I57" s="173"/>
      <c r="J57" s="173"/>
      <c r="K57" s="173"/>
      <c r="L57" s="173"/>
      <c r="M57" s="173"/>
      <c r="N57" s="173"/>
      <c r="O57" s="175"/>
      <c r="P57" s="177"/>
      <c r="Q57" s="172"/>
      <c r="R57" s="172"/>
      <c r="S57" s="166"/>
    </row>
    <row r="58" spans="1:19" s="170" customFormat="1">
      <c r="A58" s="171"/>
      <c r="B58" s="172"/>
      <c r="C58" s="172"/>
      <c r="D58" s="172"/>
      <c r="E58" s="172"/>
      <c r="F58" s="172"/>
      <c r="G58" s="173"/>
      <c r="H58" s="173"/>
      <c r="I58" s="173"/>
      <c r="J58" s="173"/>
      <c r="K58" s="173"/>
      <c r="L58" s="173"/>
      <c r="M58" s="173"/>
      <c r="N58" s="173"/>
      <c r="O58" s="175"/>
      <c r="P58" s="176"/>
      <c r="Q58" s="172"/>
      <c r="R58" s="172"/>
      <c r="S58" s="166"/>
    </row>
    <row r="59" spans="1:19" s="170" customFormat="1">
      <c r="A59" s="171"/>
      <c r="B59" s="172"/>
      <c r="C59" s="172"/>
      <c r="D59" s="172"/>
      <c r="E59" s="172"/>
      <c r="F59" s="172"/>
      <c r="G59" s="173"/>
      <c r="H59" s="173"/>
      <c r="I59" s="173"/>
      <c r="J59" s="173"/>
      <c r="K59" s="173"/>
      <c r="L59" s="173"/>
      <c r="M59" s="173"/>
      <c r="N59" s="173"/>
      <c r="O59" s="173"/>
      <c r="P59" s="172"/>
      <c r="Q59" s="172"/>
      <c r="R59" s="172"/>
      <c r="S59" s="166"/>
    </row>
    <row r="60" spans="1:19" s="170" customFormat="1">
      <c r="A60" s="171"/>
      <c r="B60" s="172"/>
      <c r="C60" s="172"/>
      <c r="D60" s="172"/>
      <c r="E60" s="172"/>
      <c r="F60" s="172"/>
      <c r="G60" s="173"/>
      <c r="H60" s="173"/>
      <c r="I60" s="173"/>
      <c r="J60" s="173"/>
      <c r="K60" s="173"/>
      <c r="L60" s="173"/>
      <c r="M60" s="173"/>
      <c r="N60" s="173"/>
      <c r="O60" s="173"/>
      <c r="P60" s="172"/>
      <c r="Q60" s="172"/>
      <c r="R60" s="172"/>
      <c r="S60" s="166"/>
    </row>
    <row r="61" spans="1:19" s="170" customFormat="1">
      <c r="A61" s="171"/>
      <c r="B61" s="172"/>
      <c r="C61" s="172"/>
      <c r="D61" s="172"/>
      <c r="E61" s="172"/>
      <c r="F61" s="172"/>
      <c r="G61" s="173"/>
      <c r="H61" s="173"/>
      <c r="I61" s="173"/>
      <c r="J61" s="173"/>
      <c r="K61" s="173"/>
      <c r="L61" s="173"/>
      <c r="M61" s="173"/>
      <c r="N61" s="173"/>
      <c r="O61" s="173"/>
      <c r="P61" s="172"/>
      <c r="Q61" s="172"/>
      <c r="R61" s="172"/>
      <c r="S61" s="166"/>
    </row>
    <row r="62" spans="1:19" s="170" customFormat="1">
      <c r="A62" s="171"/>
      <c r="B62" s="172"/>
      <c r="C62" s="172"/>
      <c r="D62" s="172"/>
      <c r="E62" s="172"/>
      <c r="F62" s="172"/>
      <c r="G62" s="173"/>
      <c r="H62" s="173"/>
      <c r="I62" s="173"/>
      <c r="J62" s="173"/>
      <c r="K62" s="173"/>
      <c r="L62" s="173"/>
      <c r="M62" s="173"/>
      <c r="N62" s="173"/>
      <c r="O62" s="173"/>
      <c r="P62" s="172"/>
      <c r="Q62" s="172"/>
      <c r="R62" s="172"/>
      <c r="S62" s="166"/>
    </row>
    <row r="63" spans="1:19" s="170" customFormat="1">
      <c r="A63" s="171"/>
      <c r="B63" s="172"/>
      <c r="C63" s="172"/>
      <c r="D63" s="172"/>
      <c r="E63" s="172"/>
      <c r="F63" s="172"/>
      <c r="G63" s="173"/>
      <c r="H63" s="173"/>
      <c r="I63" s="173"/>
      <c r="J63" s="173"/>
      <c r="K63" s="173"/>
      <c r="L63" s="173"/>
      <c r="M63" s="173"/>
      <c r="N63" s="173"/>
      <c r="O63" s="173"/>
      <c r="P63" s="172"/>
      <c r="Q63" s="172"/>
      <c r="R63" s="172"/>
      <c r="S63" s="166"/>
    </row>
    <row r="64" spans="1:19" s="170" customFormat="1">
      <c r="A64" s="171"/>
      <c r="B64" s="172"/>
      <c r="C64" s="172"/>
      <c r="D64" s="172"/>
      <c r="E64" s="172"/>
      <c r="F64" s="172"/>
      <c r="G64" s="173"/>
      <c r="H64" s="173"/>
      <c r="I64" s="173"/>
      <c r="J64" s="173"/>
      <c r="K64" s="173"/>
      <c r="L64" s="173"/>
      <c r="M64" s="173"/>
      <c r="N64" s="173"/>
      <c r="O64" s="173"/>
      <c r="P64" s="172"/>
      <c r="Q64" s="172"/>
      <c r="R64" s="172"/>
      <c r="S64" s="166"/>
    </row>
    <row r="65" spans="1:19" s="170" customFormat="1">
      <c r="A65" s="171"/>
      <c r="B65" s="172"/>
      <c r="C65" s="172"/>
      <c r="D65" s="172"/>
      <c r="E65" s="172"/>
      <c r="F65" s="172"/>
      <c r="G65" s="173"/>
      <c r="H65" s="173"/>
      <c r="I65" s="173"/>
      <c r="J65" s="173"/>
      <c r="K65" s="173"/>
      <c r="L65" s="173"/>
      <c r="M65" s="173"/>
      <c r="N65" s="173"/>
      <c r="O65" s="173"/>
      <c r="P65" s="172"/>
      <c r="Q65" s="172"/>
      <c r="R65" s="172"/>
      <c r="S65" s="166"/>
    </row>
    <row r="66" spans="1:19" s="170" customFormat="1">
      <c r="A66" s="171"/>
      <c r="B66" s="172"/>
      <c r="C66" s="172"/>
      <c r="D66" s="172"/>
      <c r="E66" s="172"/>
      <c r="F66" s="172"/>
      <c r="G66" s="173"/>
      <c r="H66" s="173"/>
      <c r="I66" s="173"/>
      <c r="J66" s="173"/>
      <c r="K66" s="173"/>
      <c r="L66" s="173"/>
      <c r="M66" s="173"/>
      <c r="N66" s="173"/>
      <c r="O66" s="173"/>
      <c r="P66" s="172"/>
      <c r="Q66" s="172"/>
      <c r="R66" s="172"/>
      <c r="S66" s="166"/>
    </row>
    <row r="67" spans="1:19" s="170" customFormat="1">
      <c r="A67" s="171"/>
      <c r="B67" s="172"/>
      <c r="C67" s="172"/>
      <c r="D67" s="172"/>
      <c r="E67" s="172"/>
      <c r="F67" s="172"/>
      <c r="G67" s="173"/>
      <c r="H67" s="173"/>
      <c r="I67" s="173"/>
      <c r="J67" s="173"/>
      <c r="K67" s="173"/>
      <c r="L67" s="173"/>
      <c r="M67" s="173"/>
      <c r="N67" s="173"/>
      <c r="O67" s="173"/>
      <c r="P67" s="172"/>
      <c r="Q67" s="172"/>
      <c r="R67" s="172"/>
      <c r="S67" s="166"/>
    </row>
    <row r="68" spans="1:19" s="170" customFormat="1">
      <c r="A68" s="171"/>
      <c r="B68" s="172"/>
      <c r="C68" s="172"/>
      <c r="D68" s="172"/>
      <c r="E68" s="172"/>
      <c r="F68" s="172"/>
      <c r="G68" s="173"/>
      <c r="H68" s="173"/>
      <c r="I68" s="173"/>
      <c r="J68" s="173"/>
      <c r="K68" s="173"/>
      <c r="L68" s="173"/>
      <c r="M68" s="173"/>
      <c r="N68" s="173"/>
      <c r="O68" s="173"/>
      <c r="P68" s="172"/>
      <c r="Q68" s="172"/>
      <c r="R68" s="172"/>
      <c r="S68" s="166"/>
    </row>
    <row r="69" spans="1:19">
      <c r="A69" s="171"/>
      <c r="B69" s="172"/>
      <c r="C69" s="172"/>
      <c r="D69" s="172"/>
      <c r="E69" s="172"/>
      <c r="F69" s="172"/>
      <c r="G69" s="173"/>
      <c r="H69" s="173"/>
      <c r="I69" s="173"/>
      <c r="J69" s="173"/>
      <c r="K69" s="173"/>
      <c r="L69" s="173"/>
      <c r="M69" s="173"/>
      <c r="N69" s="173"/>
      <c r="O69" s="173"/>
      <c r="P69" s="172"/>
      <c r="Q69" s="172"/>
      <c r="R69" s="172"/>
      <c r="S69" s="166"/>
    </row>
    <row r="71" spans="1:19" ht="15.75" customHeight="1"/>
    <row r="72" spans="1:19" ht="15.75" customHeight="1"/>
    <row r="73" spans="1:19" ht="15.75" customHeight="1"/>
  </sheetData>
  <mergeCells count="22">
    <mergeCell ref="B3:B4"/>
    <mergeCell ref="C3:C4"/>
    <mergeCell ref="D3:D4"/>
    <mergeCell ref="E3:E4"/>
    <mergeCell ref="F3:F4"/>
    <mergeCell ref="Q3:Q4"/>
    <mergeCell ref="R3:R4"/>
    <mergeCell ref="A7:A8"/>
    <mergeCell ref="B7:B8"/>
    <mergeCell ref="C7:C8"/>
    <mergeCell ref="Q7:Q8"/>
    <mergeCell ref="R7:R8"/>
    <mergeCell ref="L3:L4"/>
    <mergeCell ref="M3:M4"/>
    <mergeCell ref="N3:N4"/>
    <mergeCell ref="O3:O4"/>
    <mergeCell ref="P3:P4"/>
    <mergeCell ref="G3:G4"/>
    <mergeCell ref="H3:H4"/>
    <mergeCell ref="I3:I4"/>
    <mergeCell ref="J3:J4"/>
    <mergeCell ref="K3:K4"/>
  </mergeCells>
  <phoneticPr fontId="22" type="noConversion"/>
  <pageMargins left="0.25" right="0.25" top="0.75" bottom="0.75" header="0.3" footer="0.3"/>
  <pageSetup paperSize="9" scale="62" firstPageNumber="4294967295" orientation="landscape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N19"/>
  <sheetViews>
    <sheetView workbookViewId="0">
      <selection activeCell="K6" sqref="K6"/>
    </sheetView>
  </sheetViews>
  <sheetFormatPr defaultRowHeight="15"/>
  <cols>
    <col min="1" max="1" width="38.28515625" bestFit="1" customWidth="1"/>
    <col min="2" max="2" width="11.28515625" style="1" customWidth="1"/>
    <col min="3" max="4" width="11.85546875" bestFit="1" customWidth="1"/>
    <col min="5" max="5" width="12.85546875" style="1" bestFit="1" customWidth="1"/>
    <col min="6" max="6" width="11.85546875" bestFit="1" customWidth="1"/>
    <col min="7" max="7" width="11.5703125" bestFit="1" customWidth="1"/>
    <col min="8" max="8" width="10.28515625" bestFit="1" customWidth="1"/>
    <col min="9" max="10" width="9.28515625" bestFit="1" customWidth="1"/>
    <col min="11" max="11" width="10.28515625" bestFit="1" customWidth="1"/>
    <col min="12" max="13" width="9.28515625" bestFit="1" customWidth="1"/>
    <col min="14" max="14" width="14.5703125" bestFit="1" customWidth="1"/>
  </cols>
  <sheetData>
    <row r="1" spans="1:14">
      <c r="A1" s="249" t="s">
        <v>39</v>
      </c>
      <c r="B1" s="215"/>
      <c r="C1" s="256"/>
      <c r="D1" s="256"/>
      <c r="E1" s="215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56"/>
      <c r="B3" s="224"/>
      <c r="C3" s="224"/>
      <c r="D3" s="224"/>
      <c r="E3" s="226"/>
      <c r="F3" s="224"/>
      <c r="G3" s="226"/>
      <c r="H3" s="224"/>
      <c r="I3" s="226"/>
      <c r="J3" s="224"/>
      <c r="K3" s="224"/>
      <c r="L3" s="224"/>
      <c r="M3" s="224"/>
      <c r="N3" s="224"/>
    </row>
    <row r="4" spans="1:14">
      <c r="A4" s="301"/>
      <c r="B4" s="166"/>
      <c r="C4" s="243"/>
      <c r="D4" s="243"/>
      <c r="E4" s="226"/>
      <c r="F4" s="243"/>
      <c r="G4" s="244"/>
      <c r="H4" s="243"/>
      <c r="I4" s="244"/>
      <c r="J4" s="243"/>
      <c r="K4" s="243"/>
      <c r="L4" s="243"/>
      <c r="M4" s="243"/>
      <c r="N4" s="243">
        <f t="shared" ref="N4:N16" si="0">SUM(B4:M4)</f>
        <v>0</v>
      </c>
    </row>
    <row r="5" spans="1:14">
      <c r="A5" s="302"/>
      <c r="B5" s="303"/>
      <c r="C5" s="303">
        <v>1985000</v>
      </c>
      <c r="D5" s="294"/>
      <c r="E5" s="304">
        <v>763172</v>
      </c>
      <c r="F5" s="303"/>
      <c r="G5" s="304">
        <v>949932</v>
      </c>
      <c r="H5" s="303"/>
      <c r="I5" s="304"/>
      <c r="J5" s="303"/>
      <c r="K5" s="303">
        <v>953515</v>
      </c>
      <c r="L5" s="303"/>
      <c r="M5" s="303"/>
      <c r="N5" s="289">
        <f t="shared" si="0"/>
        <v>4651619</v>
      </c>
    </row>
    <row r="6" spans="1:14">
      <c r="A6" s="302"/>
      <c r="B6" s="296"/>
      <c r="C6" s="296"/>
      <c r="D6" s="303"/>
      <c r="E6" s="297">
        <v>700000</v>
      </c>
      <c r="F6" s="296"/>
      <c r="G6" s="297"/>
      <c r="H6" s="296"/>
      <c r="I6" s="297"/>
      <c r="J6" s="296"/>
      <c r="K6" s="296"/>
      <c r="L6" s="296"/>
      <c r="M6" s="296"/>
      <c r="N6" s="289">
        <f t="shared" si="0"/>
        <v>700000</v>
      </c>
    </row>
    <row r="7" spans="1:14">
      <c r="A7" s="262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287">
        <f t="shared" si="0"/>
        <v>0</v>
      </c>
    </row>
    <row r="8" spans="1:14">
      <c r="A8" s="301"/>
      <c r="B8" s="240"/>
      <c r="C8" s="287"/>
      <c r="D8" s="287"/>
      <c r="E8" s="290"/>
      <c r="F8" s="287"/>
      <c r="G8" s="288"/>
      <c r="H8" s="287"/>
      <c r="I8" s="288"/>
      <c r="J8" s="287"/>
      <c r="K8" s="287"/>
      <c r="L8" s="287"/>
      <c r="M8" s="287"/>
      <c r="N8" s="287">
        <f t="shared" si="0"/>
        <v>0</v>
      </c>
    </row>
    <row r="9" spans="1:14">
      <c r="A9" s="268"/>
      <c r="B9" s="227"/>
      <c r="C9" s="289"/>
      <c r="D9" s="289"/>
      <c r="E9" s="291"/>
      <c r="F9" s="289"/>
      <c r="G9" s="295"/>
      <c r="H9" s="289"/>
      <c r="I9" s="295"/>
      <c r="J9" s="289"/>
      <c r="K9" s="289"/>
      <c r="L9" s="289"/>
      <c r="M9" s="289"/>
      <c r="N9" s="289">
        <f t="shared" si="0"/>
        <v>0</v>
      </c>
    </row>
    <row r="10" spans="1:14">
      <c r="A10" s="293"/>
      <c r="B10" s="227"/>
      <c r="C10" s="294"/>
      <c r="D10" s="294"/>
      <c r="E10" s="291"/>
      <c r="F10" s="289"/>
      <c r="G10" s="295"/>
      <c r="H10" s="289"/>
      <c r="I10" s="295"/>
      <c r="J10" s="289"/>
      <c r="K10" s="289"/>
      <c r="L10" s="289"/>
      <c r="M10" s="289"/>
      <c r="N10" s="289">
        <f t="shared" si="0"/>
        <v>0</v>
      </c>
    </row>
    <row r="11" spans="1:14">
      <c r="A11" s="260"/>
      <c r="B11" s="296"/>
      <c r="C11" s="296"/>
      <c r="D11" s="296"/>
      <c r="E11" s="297"/>
      <c r="F11" s="296"/>
      <c r="G11" s="297"/>
      <c r="H11" s="296"/>
      <c r="I11" s="297"/>
      <c r="J11" s="296"/>
      <c r="K11" s="296"/>
      <c r="L11" s="296"/>
      <c r="M11" s="296"/>
      <c r="N11" s="289">
        <f t="shared" si="0"/>
        <v>0</v>
      </c>
    </row>
    <row r="12" spans="1:14">
      <c r="A12" s="298"/>
      <c r="B12" s="240"/>
      <c r="C12" s="240"/>
      <c r="D12" s="287"/>
      <c r="E12" s="290"/>
      <c r="F12" s="287"/>
      <c r="G12" s="288"/>
      <c r="H12" s="287"/>
      <c r="I12" s="288"/>
      <c r="J12" s="287"/>
      <c r="K12" s="287"/>
      <c r="L12" s="287"/>
      <c r="M12" s="287"/>
      <c r="N12" s="289">
        <f t="shared" si="0"/>
        <v>0</v>
      </c>
    </row>
    <row r="13" spans="1:14">
      <c r="A13" s="298"/>
      <c r="B13" s="227"/>
      <c r="C13" s="289"/>
      <c r="D13" s="289"/>
      <c r="E13" s="291"/>
      <c r="F13" s="296"/>
      <c r="G13" s="295"/>
      <c r="H13" s="289"/>
      <c r="I13" s="295"/>
      <c r="J13" s="289"/>
      <c r="K13" s="289"/>
      <c r="L13" s="289"/>
      <c r="M13" s="289"/>
      <c r="N13" s="289">
        <f t="shared" si="0"/>
        <v>0</v>
      </c>
    </row>
    <row r="14" spans="1:14">
      <c r="A14" s="298"/>
      <c r="B14" s="227"/>
      <c r="C14" s="289"/>
      <c r="D14" s="289"/>
      <c r="E14" s="291"/>
      <c r="F14" s="289"/>
      <c r="G14" s="295"/>
      <c r="H14" s="289"/>
      <c r="I14" s="295"/>
      <c r="J14" s="289"/>
      <c r="K14" s="289"/>
      <c r="L14" s="289"/>
      <c r="M14" s="289"/>
      <c r="N14" s="289">
        <f t="shared" si="0"/>
        <v>0</v>
      </c>
    </row>
    <row r="15" spans="1:14">
      <c r="A15" s="299"/>
      <c r="B15" s="227"/>
      <c r="C15" s="289"/>
      <c r="D15" s="289"/>
      <c r="E15" s="296"/>
      <c r="F15" s="289"/>
      <c r="G15" s="295"/>
      <c r="H15" s="289"/>
      <c r="I15" s="295"/>
      <c r="J15" s="289"/>
      <c r="K15" s="289"/>
      <c r="L15" s="289"/>
      <c r="M15" s="289"/>
      <c r="N15" s="289">
        <f t="shared" si="0"/>
        <v>0</v>
      </c>
    </row>
    <row r="16" spans="1:14">
      <c r="A16" s="299"/>
      <c r="B16" s="227"/>
      <c r="C16" s="289"/>
      <c r="D16" s="289"/>
      <c r="E16" s="291"/>
      <c r="F16" s="289"/>
      <c r="G16" s="295"/>
      <c r="H16" s="289"/>
      <c r="I16" s="295"/>
      <c r="J16" s="289"/>
      <c r="K16" s="289"/>
      <c r="L16" s="289"/>
      <c r="M16" s="289"/>
      <c r="N16" s="289">
        <f t="shared" si="0"/>
        <v>0</v>
      </c>
    </row>
    <row r="17" spans="1:14">
      <c r="A17" s="249" t="s">
        <v>104</v>
      </c>
      <c r="B17" s="248">
        <f t="shared" ref="B17:N17" si="1">SUM(B4:B16)</f>
        <v>0</v>
      </c>
      <c r="C17" s="248">
        <f t="shared" si="1"/>
        <v>1985000</v>
      </c>
      <c r="D17" s="248">
        <f t="shared" si="1"/>
        <v>0</v>
      </c>
      <c r="E17" s="248">
        <f t="shared" si="1"/>
        <v>1463172</v>
      </c>
      <c r="F17" s="248">
        <f t="shared" si="1"/>
        <v>0</v>
      </c>
      <c r="G17" s="248">
        <f t="shared" si="1"/>
        <v>949932</v>
      </c>
      <c r="H17" s="248">
        <f t="shared" si="1"/>
        <v>0</v>
      </c>
      <c r="I17" s="248">
        <f t="shared" si="1"/>
        <v>0</v>
      </c>
      <c r="J17" s="248">
        <f t="shared" si="1"/>
        <v>0</v>
      </c>
      <c r="K17" s="248">
        <f t="shared" si="1"/>
        <v>953515</v>
      </c>
      <c r="L17" s="248">
        <f t="shared" si="1"/>
        <v>0</v>
      </c>
      <c r="M17" s="248">
        <f t="shared" si="1"/>
        <v>0</v>
      </c>
      <c r="N17" s="248">
        <f t="shared" si="1"/>
        <v>5351619</v>
      </c>
    </row>
    <row r="19" spans="1:14">
      <c r="N19" s="255">
        <f>SUM(B17:M17)-N17</f>
        <v>0</v>
      </c>
    </row>
  </sheetData>
  <phoneticPr fontId="22" type="noConversion"/>
  <pageMargins left="0.25" right="0.25" top="0.75" bottom="0.75" header="0.3" footer="0.3"/>
  <pageSetup paperSize="9" scale="88" firstPageNumber="4294967295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N21"/>
  <sheetViews>
    <sheetView workbookViewId="0">
      <selection activeCell="A4" sqref="A4:L14"/>
    </sheetView>
  </sheetViews>
  <sheetFormatPr defaultRowHeight="15"/>
  <cols>
    <col min="1" max="1" width="19.7109375" customWidth="1"/>
  </cols>
  <sheetData>
    <row r="1" spans="1:14">
      <c r="A1" s="249" t="s">
        <v>76</v>
      </c>
      <c r="B1" s="215"/>
      <c r="C1" s="256"/>
      <c r="D1" s="256"/>
      <c r="E1" s="215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45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56"/>
      <c r="B3" s="224"/>
      <c r="C3" s="224"/>
      <c r="D3" s="224"/>
      <c r="E3" s="226"/>
      <c r="F3" s="224"/>
      <c r="G3" s="226"/>
      <c r="H3" s="224"/>
      <c r="I3" s="226"/>
      <c r="J3" s="224"/>
      <c r="K3" s="224"/>
      <c r="L3" s="224"/>
      <c r="M3" s="224"/>
      <c r="N3" s="224"/>
    </row>
    <row r="4" spans="1:14">
      <c r="A4" s="275"/>
      <c r="B4" s="306"/>
      <c r="C4" s="243"/>
      <c r="D4" s="243"/>
      <c r="E4" s="226"/>
      <c r="F4" s="243"/>
      <c r="G4" s="244"/>
      <c r="H4" s="243"/>
      <c r="I4" s="244"/>
      <c r="J4" s="243"/>
      <c r="K4" s="243"/>
      <c r="L4" s="243"/>
      <c r="M4" s="243"/>
      <c r="N4" s="243">
        <f t="shared" ref="N4:N17" si="0">SUM(B4:M4)</f>
        <v>0</v>
      </c>
    </row>
    <row r="5" spans="1:14">
      <c r="A5" s="302"/>
      <c r="B5" s="224"/>
      <c r="C5" s="243"/>
      <c r="D5" s="243"/>
      <c r="E5" s="226"/>
      <c r="F5" s="307"/>
      <c r="G5" s="244"/>
      <c r="H5" s="243"/>
      <c r="I5" s="244"/>
      <c r="J5" s="243"/>
      <c r="K5" s="243"/>
      <c r="L5" s="243"/>
      <c r="M5" s="243"/>
      <c r="N5" s="243">
        <f t="shared" si="0"/>
        <v>0</v>
      </c>
    </row>
    <row r="6" spans="1:14">
      <c r="A6" s="193"/>
      <c r="B6" s="242"/>
      <c r="C6" s="193"/>
      <c r="D6" s="193"/>
      <c r="E6" s="242"/>
      <c r="F6" s="219"/>
      <c r="G6" s="221"/>
      <c r="H6" s="219"/>
      <c r="I6" s="221"/>
      <c r="J6" s="219"/>
      <c r="K6" s="219"/>
      <c r="L6" s="219"/>
      <c r="M6" s="219"/>
      <c r="N6" s="245">
        <f t="shared" si="0"/>
        <v>0</v>
      </c>
    </row>
    <row r="7" spans="1:14">
      <c r="A7" s="302"/>
      <c r="B7" s="237"/>
      <c r="C7" s="237"/>
      <c r="D7" s="237"/>
      <c r="E7" s="238"/>
      <c r="F7" s="237"/>
      <c r="G7" s="238"/>
      <c r="H7" s="237"/>
      <c r="I7" s="238"/>
      <c r="J7" s="237"/>
      <c r="K7" s="237"/>
      <c r="L7" s="237"/>
      <c r="M7" s="237"/>
      <c r="N7" s="243">
        <f t="shared" si="0"/>
        <v>0</v>
      </c>
    </row>
    <row r="8" spans="1:14">
      <c r="A8" s="302"/>
      <c r="B8" s="307"/>
      <c r="C8" s="307"/>
      <c r="D8" s="307"/>
      <c r="E8" s="308"/>
      <c r="F8" s="307"/>
      <c r="G8" s="308"/>
      <c r="H8" s="307"/>
      <c r="I8" s="308"/>
      <c r="J8" s="307"/>
      <c r="K8" s="307"/>
      <c r="L8" s="307"/>
      <c r="M8" s="307"/>
      <c r="N8" s="243">
        <f t="shared" si="0"/>
        <v>0</v>
      </c>
    </row>
    <row r="9" spans="1:14">
      <c r="A9" s="301"/>
      <c r="B9" s="309"/>
      <c r="C9" s="245"/>
      <c r="D9" s="245"/>
      <c r="E9" s="230"/>
      <c r="F9" s="245"/>
      <c r="G9" s="246"/>
      <c r="H9" s="245"/>
      <c r="I9" s="246"/>
      <c r="J9" s="245"/>
      <c r="K9" s="245"/>
      <c r="L9" s="245"/>
      <c r="M9" s="245"/>
      <c r="N9" s="245">
        <f t="shared" si="0"/>
        <v>0</v>
      </c>
    </row>
    <row r="10" spans="1:14">
      <c r="A10" s="268"/>
      <c r="B10" s="224"/>
      <c r="C10" s="243"/>
      <c r="D10" s="243"/>
      <c r="E10" s="226"/>
      <c r="F10" s="243"/>
      <c r="G10" s="244"/>
      <c r="H10" s="243"/>
      <c r="I10" s="244"/>
      <c r="J10" s="243"/>
      <c r="K10" s="243"/>
      <c r="L10" s="243"/>
      <c r="M10" s="243"/>
      <c r="N10" s="243">
        <f t="shared" si="0"/>
        <v>0</v>
      </c>
    </row>
    <row r="11" spans="1:14">
      <c r="A11" s="293"/>
      <c r="B11" s="224"/>
      <c r="C11" s="193"/>
      <c r="D11" s="193"/>
      <c r="E11" s="226"/>
      <c r="F11" s="243"/>
      <c r="G11" s="244"/>
      <c r="H11" s="243"/>
      <c r="I11" s="244"/>
      <c r="J11" s="243"/>
      <c r="K11" s="243"/>
      <c r="L11" s="243"/>
      <c r="M11" s="243"/>
      <c r="N11" s="243">
        <f t="shared" si="0"/>
        <v>0</v>
      </c>
    </row>
    <row r="12" spans="1:14">
      <c r="A12" s="260"/>
      <c r="B12" s="307"/>
      <c r="C12" s="307"/>
      <c r="D12" s="307"/>
      <c r="E12" s="308"/>
      <c r="F12" s="307"/>
      <c r="G12" s="308"/>
      <c r="H12" s="307"/>
      <c r="I12" s="308"/>
      <c r="J12" s="307"/>
      <c r="K12" s="307"/>
      <c r="L12" s="307"/>
      <c r="M12" s="307"/>
      <c r="N12" s="243">
        <f t="shared" si="0"/>
        <v>0</v>
      </c>
    </row>
    <row r="13" spans="1:14">
      <c r="A13" s="298"/>
      <c r="B13" s="229"/>
      <c r="C13" s="229"/>
      <c r="D13" s="245"/>
      <c r="E13" s="230"/>
      <c r="F13" s="245"/>
      <c r="G13" s="246"/>
      <c r="H13" s="245"/>
      <c r="I13" s="246"/>
      <c r="J13" s="245"/>
      <c r="K13" s="245"/>
      <c r="L13" s="245"/>
      <c r="M13" s="245"/>
      <c r="N13" s="243">
        <f t="shared" si="0"/>
        <v>0</v>
      </c>
    </row>
    <row r="14" spans="1:14">
      <c r="A14" s="298"/>
      <c r="B14" s="224"/>
      <c r="C14" s="243"/>
      <c r="D14" s="243"/>
      <c r="E14" s="226"/>
      <c r="F14" s="307"/>
      <c r="G14" s="244"/>
      <c r="H14" s="243"/>
      <c r="I14" s="244"/>
      <c r="J14" s="243"/>
      <c r="K14" s="243"/>
      <c r="L14" s="243"/>
      <c r="M14" s="243"/>
      <c r="N14" s="243">
        <f t="shared" si="0"/>
        <v>0</v>
      </c>
    </row>
    <row r="15" spans="1:14">
      <c r="A15" s="298"/>
      <c r="B15" s="224"/>
      <c r="C15" s="243"/>
      <c r="D15" s="243"/>
      <c r="E15" s="226"/>
      <c r="F15" s="243"/>
      <c r="G15" s="244"/>
      <c r="H15" s="243"/>
      <c r="I15" s="244"/>
      <c r="J15" s="243"/>
      <c r="K15" s="243"/>
      <c r="L15" s="243"/>
      <c r="M15" s="243"/>
      <c r="N15" s="243">
        <f t="shared" si="0"/>
        <v>0</v>
      </c>
    </row>
    <row r="16" spans="1:14">
      <c r="A16" s="299"/>
      <c r="B16" s="224"/>
      <c r="C16" s="243"/>
      <c r="D16" s="243"/>
      <c r="E16" s="307"/>
      <c r="F16" s="243"/>
      <c r="G16" s="244"/>
      <c r="H16" s="243"/>
      <c r="I16" s="244"/>
      <c r="J16" s="243"/>
      <c r="K16" s="243"/>
      <c r="L16" s="243"/>
      <c r="M16" s="243"/>
      <c r="N16" s="243">
        <f t="shared" si="0"/>
        <v>0</v>
      </c>
    </row>
    <row r="17" spans="1:14">
      <c r="A17" s="299"/>
      <c r="B17" s="224"/>
      <c r="C17" s="243"/>
      <c r="D17" s="243"/>
      <c r="E17" s="226"/>
      <c r="F17" s="243"/>
      <c r="G17" s="244"/>
      <c r="H17" s="243"/>
      <c r="I17" s="244"/>
      <c r="J17" s="243"/>
      <c r="K17" s="243"/>
      <c r="L17" s="243"/>
      <c r="M17" s="243"/>
      <c r="N17" s="243">
        <f t="shared" si="0"/>
        <v>0</v>
      </c>
    </row>
    <row r="18" spans="1:14">
      <c r="A18" s="249" t="s">
        <v>104</v>
      </c>
      <c r="B18" s="247">
        <f t="shared" ref="B18:N18" si="1">SUM(B4:B17)</f>
        <v>0</v>
      </c>
      <c r="C18" s="247">
        <f t="shared" si="1"/>
        <v>0</v>
      </c>
      <c r="D18" s="247">
        <f t="shared" si="1"/>
        <v>0</v>
      </c>
      <c r="E18" s="247">
        <f t="shared" si="1"/>
        <v>0</v>
      </c>
      <c r="F18" s="247">
        <f t="shared" si="1"/>
        <v>0</v>
      </c>
      <c r="G18" s="247">
        <f t="shared" si="1"/>
        <v>0</v>
      </c>
      <c r="H18" s="247">
        <f t="shared" si="1"/>
        <v>0</v>
      </c>
      <c r="I18" s="247">
        <f t="shared" si="1"/>
        <v>0</v>
      </c>
      <c r="J18" s="247">
        <f t="shared" si="1"/>
        <v>0</v>
      </c>
      <c r="K18" s="247">
        <f t="shared" si="1"/>
        <v>0</v>
      </c>
      <c r="L18" s="247">
        <f t="shared" si="1"/>
        <v>0</v>
      </c>
      <c r="M18" s="247">
        <f t="shared" si="1"/>
        <v>0</v>
      </c>
      <c r="N18" s="247">
        <f t="shared" si="1"/>
        <v>0</v>
      </c>
    </row>
    <row r="19" spans="1:14">
      <c r="B19" s="1"/>
      <c r="E19" s="1"/>
    </row>
    <row r="20" spans="1:14">
      <c r="B20" s="1"/>
      <c r="E20" s="1"/>
      <c r="N20" s="255">
        <f>SUM(B18:M18)-N18</f>
        <v>0</v>
      </c>
    </row>
    <row r="21" spans="1:14">
      <c r="B21" s="1"/>
      <c r="E21" s="1"/>
    </row>
  </sheetData>
  <phoneticPr fontId="22" type="noConversion"/>
  <pageMargins left="0.7" right="0.7" top="0.75" bottom="0.75" header="0.3" footer="0.3"/>
  <pageSetup paperSize="9" firstPageNumber="4294967295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N17"/>
  <sheetViews>
    <sheetView workbookViewId="0">
      <selection activeCell="A5" sqref="A5:IV5"/>
    </sheetView>
  </sheetViews>
  <sheetFormatPr defaultRowHeight="15"/>
  <cols>
    <col min="1" max="1" width="20" bestFit="1" customWidth="1"/>
    <col min="3" max="3" width="10.28515625" bestFit="1" customWidth="1"/>
    <col min="9" max="9" width="10.28515625" bestFit="1" customWidth="1"/>
    <col min="14" max="14" width="10.28515625" bestFit="1" customWidth="1"/>
  </cols>
  <sheetData>
    <row r="1" spans="1:14">
      <c r="A1" s="249" t="s">
        <v>78</v>
      </c>
      <c r="B1" s="215"/>
      <c r="C1" s="256"/>
      <c r="D1" s="256"/>
      <c r="E1" s="215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45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56"/>
      <c r="B3" s="224"/>
      <c r="C3" s="224"/>
      <c r="D3" s="224"/>
      <c r="E3" s="226"/>
      <c r="F3" s="224"/>
      <c r="G3" s="226"/>
      <c r="H3" s="224"/>
      <c r="I3" s="226"/>
      <c r="J3" s="224"/>
      <c r="K3" s="224"/>
      <c r="L3" s="224"/>
      <c r="M3" s="224"/>
      <c r="N3" s="224"/>
    </row>
    <row r="4" spans="1:14">
      <c r="A4" s="262" t="s">
        <v>173</v>
      </c>
      <c r="B4" s="287"/>
      <c r="C4" s="240">
        <v>100000</v>
      </c>
      <c r="D4" s="287"/>
      <c r="E4" s="288"/>
      <c r="F4" s="240"/>
      <c r="G4" s="290"/>
      <c r="H4" s="287"/>
      <c r="I4" s="288"/>
      <c r="J4" s="287"/>
      <c r="K4" s="287"/>
      <c r="L4" s="287"/>
      <c r="M4" s="287"/>
      <c r="N4" s="287">
        <f t="shared" ref="N4:N16" si="0">SUM(B4:M4)</f>
        <v>100000</v>
      </c>
    </row>
    <row r="5" spans="1:14">
      <c r="A5" s="256" t="s">
        <v>322</v>
      </c>
      <c r="B5" s="240"/>
      <c r="C5" s="287"/>
      <c r="D5" s="240"/>
      <c r="E5" s="287"/>
      <c r="F5" s="287"/>
      <c r="G5" s="287"/>
      <c r="H5" s="287"/>
      <c r="I5" s="287">
        <v>325000</v>
      </c>
      <c r="J5" s="287"/>
      <c r="K5" s="287"/>
      <c r="L5" s="287"/>
      <c r="M5" s="287"/>
      <c r="N5" s="287">
        <f>SUM(B5:M5)</f>
        <v>325000</v>
      </c>
    </row>
    <row r="6" spans="1:14">
      <c r="A6" s="302"/>
      <c r="B6" s="307"/>
      <c r="C6" s="307"/>
      <c r="D6" s="307"/>
      <c r="E6" s="308"/>
      <c r="F6" s="307"/>
      <c r="G6" s="308"/>
      <c r="H6" s="307"/>
      <c r="I6" s="308"/>
      <c r="J6" s="307"/>
      <c r="K6" s="307"/>
      <c r="L6" s="307"/>
      <c r="M6" s="307"/>
      <c r="N6" s="243">
        <f t="shared" si="0"/>
        <v>0</v>
      </c>
    </row>
    <row r="7" spans="1:14">
      <c r="A7" s="302"/>
      <c r="B7" s="224"/>
      <c r="C7" s="243"/>
      <c r="D7" s="243"/>
      <c r="E7" s="226"/>
      <c r="F7" s="307"/>
      <c r="G7" s="244"/>
      <c r="H7" s="243"/>
      <c r="I7" s="244"/>
      <c r="J7" s="243"/>
      <c r="K7" s="243"/>
      <c r="L7" s="243"/>
      <c r="M7" s="243"/>
      <c r="N7" s="243">
        <f t="shared" si="0"/>
        <v>0</v>
      </c>
    </row>
    <row r="8" spans="1:14">
      <c r="A8" s="301"/>
      <c r="B8" s="309"/>
      <c r="C8" s="245"/>
      <c r="D8" s="245"/>
      <c r="E8" s="230"/>
      <c r="F8" s="245"/>
      <c r="G8" s="246"/>
      <c r="H8" s="245"/>
      <c r="I8" s="246"/>
      <c r="J8" s="245"/>
      <c r="K8" s="245"/>
      <c r="L8" s="245"/>
      <c r="M8" s="245"/>
      <c r="N8" s="245">
        <f t="shared" si="0"/>
        <v>0</v>
      </c>
    </row>
    <row r="9" spans="1:14">
      <c r="A9" s="268"/>
      <c r="B9" s="224"/>
      <c r="C9" s="243"/>
      <c r="D9" s="243"/>
      <c r="E9" s="226"/>
      <c r="F9" s="243"/>
      <c r="G9" s="244"/>
      <c r="H9" s="243"/>
      <c r="I9" s="244"/>
      <c r="J9" s="243"/>
      <c r="K9" s="243"/>
      <c r="L9" s="243"/>
      <c r="M9" s="243"/>
      <c r="N9" s="243">
        <f t="shared" si="0"/>
        <v>0</v>
      </c>
    </row>
    <row r="10" spans="1:14">
      <c r="A10" s="293"/>
      <c r="B10" s="224"/>
      <c r="C10" s="193"/>
      <c r="D10" s="193"/>
      <c r="E10" s="226"/>
      <c r="F10" s="243"/>
      <c r="G10" s="244"/>
      <c r="H10" s="243"/>
      <c r="I10" s="244"/>
      <c r="J10" s="243"/>
      <c r="K10" s="243"/>
      <c r="L10" s="243"/>
      <c r="M10" s="243"/>
      <c r="N10" s="243">
        <f t="shared" si="0"/>
        <v>0</v>
      </c>
    </row>
    <row r="11" spans="1:14">
      <c r="A11" s="260"/>
      <c r="B11" s="307"/>
      <c r="C11" s="307"/>
      <c r="D11" s="307"/>
      <c r="E11" s="308"/>
      <c r="F11" s="307"/>
      <c r="G11" s="308"/>
      <c r="H11" s="307"/>
      <c r="I11" s="308"/>
      <c r="J11" s="307"/>
      <c r="K11" s="307"/>
      <c r="L11" s="307"/>
      <c r="M11" s="307"/>
      <c r="N11" s="243">
        <f t="shared" si="0"/>
        <v>0</v>
      </c>
    </row>
    <row r="12" spans="1:14">
      <c r="A12" s="298"/>
      <c r="B12" s="229"/>
      <c r="C12" s="229"/>
      <c r="D12" s="245"/>
      <c r="E12" s="230"/>
      <c r="F12" s="245"/>
      <c r="G12" s="246"/>
      <c r="H12" s="245"/>
      <c r="I12" s="246"/>
      <c r="J12" s="245"/>
      <c r="K12" s="245"/>
      <c r="L12" s="245"/>
      <c r="M12" s="245"/>
      <c r="N12" s="243">
        <f t="shared" si="0"/>
        <v>0</v>
      </c>
    </row>
    <row r="13" spans="1:14">
      <c r="A13" s="298"/>
      <c r="B13" s="224"/>
      <c r="C13" s="243"/>
      <c r="D13" s="243"/>
      <c r="E13" s="226"/>
      <c r="F13" s="307"/>
      <c r="G13" s="244"/>
      <c r="H13" s="243"/>
      <c r="I13" s="244"/>
      <c r="J13" s="243"/>
      <c r="K13" s="243"/>
      <c r="L13" s="243"/>
      <c r="M13" s="243"/>
      <c r="N13" s="243">
        <f t="shared" si="0"/>
        <v>0</v>
      </c>
    </row>
    <row r="14" spans="1:14">
      <c r="A14" s="298"/>
      <c r="B14" s="224"/>
      <c r="C14" s="243"/>
      <c r="D14" s="243"/>
      <c r="E14" s="226"/>
      <c r="F14" s="243"/>
      <c r="G14" s="244"/>
      <c r="H14" s="243"/>
      <c r="I14" s="244"/>
      <c r="J14" s="243"/>
      <c r="K14" s="243"/>
      <c r="L14" s="243"/>
      <c r="M14" s="243"/>
      <c r="N14" s="243">
        <f t="shared" si="0"/>
        <v>0</v>
      </c>
    </row>
    <row r="15" spans="1:14">
      <c r="A15" s="299"/>
      <c r="B15" s="224"/>
      <c r="C15" s="243"/>
      <c r="D15" s="243"/>
      <c r="E15" s="307"/>
      <c r="F15" s="243"/>
      <c r="G15" s="244"/>
      <c r="H15" s="243"/>
      <c r="I15" s="244"/>
      <c r="J15" s="243"/>
      <c r="K15" s="243"/>
      <c r="L15" s="243"/>
      <c r="M15" s="243"/>
      <c r="N15" s="243">
        <f t="shared" si="0"/>
        <v>0</v>
      </c>
    </row>
    <row r="16" spans="1:14">
      <c r="A16" s="299"/>
      <c r="B16" s="224"/>
      <c r="C16" s="243"/>
      <c r="D16" s="243"/>
      <c r="E16" s="226"/>
      <c r="F16" s="243"/>
      <c r="G16" s="244"/>
      <c r="H16" s="243"/>
      <c r="I16" s="244"/>
      <c r="J16" s="243"/>
      <c r="K16" s="243"/>
      <c r="L16" s="243"/>
      <c r="M16" s="243"/>
      <c r="N16" s="243">
        <f t="shared" si="0"/>
        <v>0</v>
      </c>
    </row>
    <row r="17" spans="1:14">
      <c r="A17" s="249" t="s">
        <v>104</v>
      </c>
      <c r="B17" s="247">
        <f t="shared" ref="B17:N17" si="1">SUM(B4:B16)</f>
        <v>0</v>
      </c>
      <c r="C17" s="247">
        <f t="shared" si="1"/>
        <v>100000</v>
      </c>
      <c r="D17" s="247">
        <f t="shared" si="1"/>
        <v>0</v>
      </c>
      <c r="E17" s="247">
        <f t="shared" si="1"/>
        <v>0</v>
      </c>
      <c r="F17" s="247">
        <f t="shared" si="1"/>
        <v>0</v>
      </c>
      <c r="G17" s="247">
        <f t="shared" si="1"/>
        <v>0</v>
      </c>
      <c r="H17" s="247">
        <f t="shared" si="1"/>
        <v>0</v>
      </c>
      <c r="I17" s="247">
        <f t="shared" si="1"/>
        <v>325000</v>
      </c>
      <c r="J17" s="247">
        <f t="shared" si="1"/>
        <v>0</v>
      </c>
      <c r="K17" s="247">
        <f t="shared" si="1"/>
        <v>0</v>
      </c>
      <c r="L17" s="247">
        <f t="shared" si="1"/>
        <v>0</v>
      </c>
      <c r="M17" s="247">
        <f t="shared" si="1"/>
        <v>0</v>
      </c>
      <c r="N17" s="247">
        <f t="shared" si="1"/>
        <v>425000</v>
      </c>
    </row>
  </sheetData>
  <phoneticPr fontId="22" type="noConversion"/>
  <pageMargins left="0.7" right="0.7" top="0.75" bottom="0.75" header="0.3" footer="0.3"/>
  <pageSetup paperSize="9" firstPageNumber="4294967295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N29"/>
  <sheetViews>
    <sheetView workbookViewId="0">
      <selection activeCell="A21" sqref="A21"/>
    </sheetView>
  </sheetViews>
  <sheetFormatPr defaultRowHeight="15"/>
  <cols>
    <col min="1" max="1" width="45.42578125" bestFit="1" customWidth="1"/>
    <col min="2" max="2" width="11" style="1" customWidth="1"/>
    <col min="3" max="3" width="11.42578125" style="1" customWidth="1"/>
    <col min="4" max="4" width="10.28515625" style="1" customWidth="1"/>
    <col min="5" max="8" width="9.140625" style="1"/>
    <col min="9" max="9" width="8" style="1" customWidth="1"/>
    <col min="10" max="14" width="9.140625" style="1"/>
  </cols>
  <sheetData>
    <row r="1" spans="1:14">
      <c r="A1" s="249" t="s">
        <v>136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6"/>
      <c r="I1" s="216"/>
      <c r="J1" s="216"/>
      <c r="K1" s="215"/>
      <c r="L1" s="215"/>
      <c r="M1" s="215"/>
      <c r="N1" s="22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137</v>
      </c>
    </row>
    <row r="3" spans="1:14">
      <c r="A3" s="245" t="s">
        <v>138</v>
      </c>
      <c r="B3" s="229">
        <v>556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>
        <f t="shared" ref="N3:N9" si="0">SUM(B3:M3)</f>
        <v>556</v>
      </c>
    </row>
    <row r="4" spans="1:14">
      <c r="A4" s="245" t="s">
        <v>139</v>
      </c>
      <c r="B4" s="229">
        <v>664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>
        <f t="shared" si="0"/>
        <v>664</v>
      </c>
    </row>
    <row r="5" spans="1:14">
      <c r="A5" s="262" t="s">
        <v>140</v>
      </c>
      <c r="B5" s="229">
        <v>980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>
        <f t="shared" si="0"/>
        <v>980</v>
      </c>
    </row>
    <row r="6" spans="1:14">
      <c r="A6" s="245" t="s">
        <v>197</v>
      </c>
      <c r="B6" s="229"/>
      <c r="C6" s="229">
        <v>2000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>
        <f t="shared" si="0"/>
        <v>2000</v>
      </c>
    </row>
    <row r="7" spans="1:14">
      <c r="A7" s="262" t="s">
        <v>198</v>
      </c>
      <c r="B7" s="245"/>
      <c r="C7" s="229">
        <v>1600</v>
      </c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>
        <f t="shared" si="0"/>
        <v>1600</v>
      </c>
    </row>
    <row r="8" spans="1:14">
      <c r="A8" s="262" t="s">
        <v>220</v>
      </c>
      <c r="B8" s="245"/>
      <c r="C8" s="229"/>
      <c r="D8" s="229">
        <v>150</v>
      </c>
      <c r="E8" s="226"/>
      <c r="F8" s="226"/>
      <c r="G8" s="226"/>
      <c r="H8" s="224"/>
      <c r="I8" s="226"/>
      <c r="J8" s="224"/>
      <c r="K8" s="224"/>
      <c r="L8" s="224"/>
      <c r="M8" s="224"/>
      <c r="N8" s="229">
        <f t="shared" si="0"/>
        <v>150</v>
      </c>
    </row>
    <row r="9" spans="1:14">
      <c r="A9" s="269" t="s">
        <v>230</v>
      </c>
      <c r="B9" s="229"/>
      <c r="C9" s="224"/>
      <c r="D9" s="224">
        <v>144</v>
      </c>
      <c r="E9" s="226"/>
      <c r="F9" s="226"/>
      <c r="G9" s="226"/>
      <c r="H9" s="224"/>
      <c r="I9" s="226"/>
      <c r="J9" s="224"/>
      <c r="K9" s="224"/>
      <c r="L9" s="224"/>
      <c r="M9" s="224"/>
      <c r="N9" s="229">
        <f t="shared" si="0"/>
        <v>144</v>
      </c>
    </row>
    <row r="10" spans="1:14">
      <c r="A10" s="269" t="s">
        <v>253</v>
      </c>
      <c r="B10" s="224"/>
      <c r="C10" s="224"/>
      <c r="D10" s="224"/>
      <c r="E10" s="226">
        <v>1846</v>
      </c>
      <c r="F10" s="226"/>
      <c r="G10" s="226"/>
      <c r="H10" s="224"/>
      <c r="I10" s="226"/>
      <c r="J10" s="224"/>
      <c r="K10" s="224"/>
      <c r="L10" s="224"/>
      <c r="M10" s="224"/>
      <c r="N10" s="224">
        <f t="shared" ref="N10:N26" si="1">SUM(B10:M10)</f>
        <v>1846</v>
      </c>
    </row>
    <row r="11" spans="1:14">
      <c r="A11" s="245" t="s">
        <v>271</v>
      </c>
      <c r="B11" s="229"/>
      <c r="C11" s="229"/>
      <c r="D11" s="229"/>
      <c r="E11" s="229"/>
      <c r="F11" s="229">
        <v>2880</v>
      </c>
      <c r="G11" s="229"/>
      <c r="H11" s="229"/>
      <c r="I11" s="229"/>
      <c r="J11" s="229"/>
      <c r="K11" s="229"/>
      <c r="L11" s="229"/>
      <c r="M11" s="229"/>
      <c r="N11" s="224">
        <f t="shared" si="1"/>
        <v>2880</v>
      </c>
    </row>
    <row r="12" spans="1:14">
      <c r="A12" s="245" t="s">
        <v>272</v>
      </c>
      <c r="B12" s="229"/>
      <c r="C12" s="229"/>
      <c r="D12" s="229"/>
      <c r="E12" s="229"/>
      <c r="F12" s="229">
        <v>1042</v>
      </c>
      <c r="G12" s="229"/>
      <c r="H12" s="229"/>
      <c r="I12" s="229"/>
      <c r="J12" s="229"/>
      <c r="K12" s="229"/>
      <c r="L12" s="229"/>
      <c r="M12" s="224"/>
      <c r="N12" s="224">
        <f t="shared" si="1"/>
        <v>1042</v>
      </c>
    </row>
    <row r="13" spans="1:14">
      <c r="A13" s="245" t="s">
        <v>281</v>
      </c>
      <c r="B13" s="229"/>
      <c r="C13" s="229"/>
      <c r="D13" s="229"/>
      <c r="E13" s="229"/>
      <c r="F13" s="229"/>
      <c r="G13" s="229">
        <v>7230</v>
      </c>
      <c r="H13" s="229"/>
      <c r="I13" s="229">
        <v>939</v>
      </c>
      <c r="J13" s="229"/>
      <c r="K13" s="229"/>
      <c r="L13" s="229"/>
      <c r="M13" s="224"/>
      <c r="N13" s="224">
        <f t="shared" si="1"/>
        <v>8169</v>
      </c>
    </row>
    <row r="14" spans="1:14">
      <c r="A14" s="245" t="s">
        <v>292</v>
      </c>
      <c r="B14" s="229"/>
      <c r="C14" s="229"/>
      <c r="D14" s="229"/>
      <c r="E14" s="229"/>
      <c r="F14" s="229"/>
      <c r="G14" s="229">
        <v>2400</v>
      </c>
      <c r="H14" s="229"/>
      <c r="I14" s="229"/>
      <c r="J14" s="229"/>
      <c r="K14" s="229"/>
      <c r="L14" s="229"/>
      <c r="M14" s="224"/>
      <c r="N14" s="229">
        <f t="shared" si="1"/>
        <v>2400</v>
      </c>
    </row>
    <row r="15" spans="1:14">
      <c r="A15" s="245" t="s">
        <v>307</v>
      </c>
      <c r="B15" s="229"/>
      <c r="C15" s="229"/>
      <c r="D15" s="229"/>
      <c r="E15" s="229"/>
      <c r="F15" s="229"/>
      <c r="G15" s="229"/>
      <c r="H15" s="229">
        <v>7830</v>
      </c>
      <c r="I15" s="229"/>
      <c r="J15" s="229"/>
      <c r="K15" s="229"/>
      <c r="L15" s="229"/>
      <c r="M15" s="224"/>
      <c r="N15" s="229">
        <f t="shared" si="1"/>
        <v>7830</v>
      </c>
    </row>
    <row r="16" spans="1:14">
      <c r="A16" s="245" t="s">
        <v>314</v>
      </c>
      <c r="B16" s="229"/>
      <c r="C16" s="229"/>
      <c r="D16" s="229"/>
      <c r="E16" s="229"/>
      <c r="F16" s="229"/>
      <c r="G16" s="229"/>
      <c r="H16" s="229">
        <v>600</v>
      </c>
      <c r="I16" s="229"/>
      <c r="J16" s="229"/>
      <c r="K16" s="229"/>
      <c r="L16" s="229"/>
      <c r="M16" s="224"/>
      <c r="N16" s="229">
        <f t="shared" si="1"/>
        <v>600</v>
      </c>
    </row>
    <row r="17" spans="1:14">
      <c r="A17" s="245" t="s">
        <v>325</v>
      </c>
      <c r="B17" s="229"/>
      <c r="C17" s="229"/>
      <c r="D17" s="229"/>
      <c r="E17" s="229"/>
      <c r="F17" s="229"/>
      <c r="G17" s="229"/>
      <c r="H17" s="229"/>
      <c r="I17" s="229">
        <v>7897</v>
      </c>
      <c r="J17" s="229"/>
      <c r="K17" s="229"/>
      <c r="L17" s="229"/>
      <c r="M17" s="224"/>
      <c r="N17" s="229">
        <f t="shared" si="1"/>
        <v>7897</v>
      </c>
    </row>
    <row r="18" spans="1:14">
      <c r="A18" s="245" t="s">
        <v>335</v>
      </c>
      <c r="B18" s="229"/>
      <c r="C18" s="229"/>
      <c r="D18" s="229"/>
      <c r="E18" s="229"/>
      <c r="F18" s="229"/>
      <c r="G18" s="229"/>
      <c r="H18" s="229"/>
      <c r="I18" s="229">
        <v>8990</v>
      </c>
      <c r="J18" s="229"/>
      <c r="K18" s="229"/>
      <c r="L18" s="229"/>
      <c r="M18" s="224"/>
      <c r="N18" s="229">
        <f t="shared" si="1"/>
        <v>8990</v>
      </c>
    </row>
    <row r="19" spans="1:14">
      <c r="A19" s="245" t="s">
        <v>268</v>
      </c>
      <c r="B19" s="229"/>
      <c r="C19" s="229"/>
      <c r="D19" s="229"/>
      <c r="E19" s="229"/>
      <c r="F19" s="229"/>
      <c r="G19" s="229"/>
      <c r="H19" s="229"/>
      <c r="I19" s="229">
        <v>750</v>
      </c>
      <c r="J19" s="229"/>
      <c r="K19" s="229"/>
      <c r="L19" s="229"/>
      <c r="M19" s="224"/>
      <c r="N19" s="229">
        <f t="shared" si="1"/>
        <v>750</v>
      </c>
    </row>
    <row r="20" spans="1:14">
      <c r="A20" s="245" t="s">
        <v>336</v>
      </c>
      <c r="B20" s="229"/>
      <c r="C20" s="229"/>
      <c r="D20" s="229"/>
      <c r="E20" s="229"/>
      <c r="F20" s="229"/>
      <c r="G20" s="229"/>
      <c r="H20" s="229"/>
      <c r="I20" s="229">
        <v>15290</v>
      </c>
      <c r="J20" s="229"/>
      <c r="K20" s="229"/>
      <c r="L20" s="229"/>
      <c r="M20" s="224"/>
      <c r="N20" s="229">
        <f t="shared" si="1"/>
        <v>15290</v>
      </c>
    </row>
    <row r="21" spans="1:14">
      <c r="A21" s="245" t="s">
        <v>371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>
        <v>1400</v>
      </c>
      <c r="L21" s="229"/>
      <c r="M21" s="224"/>
      <c r="N21" s="229">
        <f t="shared" si="1"/>
        <v>1400</v>
      </c>
    </row>
    <row r="22" spans="1:14">
      <c r="A22" s="245"/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4"/>
      <c r="N22" s="229">
        <f t="shared" si="1"/>
        <v>0</v>
      </c>
    </row>
    <row r="23" spans="1:14">
      <c r="A23" s="245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4"/>
      <c r="N23" s="229">
        <f t="shared" si="1"/>
        <v>0</v>
      </c>
    </row>
    <row r="24" spans="1:14">
      <c r="A24" s="245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4"/>
      <c r="N24" s="229">
        <f t="shared" si="1"/>
        <v>0</v>
      </c>
    </row>
    <row r="25" spans="1:14">
      <c r="A25" s="245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4"/>
      <c r="N25" s="229">
        <f t="shared" si="1"/>
        <v>0</v>
      </c>
    </row>
    <row r="26" spans="1:14">
      <c r="A26" s="245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4"/>
      <c r="N26" s="229">
        <f t="shared" si="1"/>
        <v>0</v>
      </c>
    </row>
    <row r="27" spans="1:14">
      <c r="A27" s="249" t="s">
        <v>104</v>
      </c>
      <c r="B27" s="270">
        <f t="shared" ref="B27:M27" si="2">SUM(B3:B26)</f>
        <v>2200</v>
      </c>
      <c r="C27" s="270">
        <f t="shared" si="2"/>
        <v>3600</v>
      </c>
      <c r="D27" s="270">
        <f t="shared" si="2"/>
        <v>294</v>
      </c>
      <c r="E27" s="270">
        <f t="shared" si="2"/>
        <v>1846</v>
      </c>
      <c r="F27" s="270">
        <f t="shared" si="2"/>
        <v>3922</v>
      </c>
      <c r="G27" s="270">
        <f t="shared" si="2"/>
        <v>9630</v>
      </c>
      <c r="H27" s="270">
        <f t="shared" si="2"/>
        <v>8430</v>
      </c>
      <c r="I27" s="270">
        <f t="shared" si="2"/>
        <v>33866</v>
      </c>
      <c r="J27" s="270">
        <f t="shared" si="2"/>
        <v>0</v>
      </c>
      <c r="K27" s="270">
        <f t="shared" si="2"/>
        <v>1400</v>
      </c>
      <c r="L27" s="270">
        <f t="shared" si="2"/>
        <v>0</v>
      </c>
      <c r="M27" s="270">
        <f t="shared" si="2"/>
        <v>0</v>
      </c>
      <c r="N27" s="270">
        <f>SUM(N3:N26)</f>
        <v>65188</v>
      </c>
    </row>
    <row r="29" spans="1:14">
      <c r="N29" s="255">
        <f>SUM(B27:M27)-N27</f>
        <v>0</v>
      </c>
    </row>
  </sheetData>
  <phoneticPr fontId="22" type="noConversion"/>
  <pageMargins left="0.7" right="0.7" top="0.75" bottom="0.75" header="0.3" footer="0.3"/>
  <pageSetup paperSize="9" firstPageNumber="429496729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H22" sqref="H22"/>
    </sheetView>
  </sheetViews>
  <sheetFormatPr defaultRowHeight="15"/>
  <cols>
    <col min="4" max="4" width="9.85546875" bestFit="1" customWidth="1"/>
    <col min="6" max="6" width="13.5703125" customWidth="1"/>
    <col min="7" max="7" width="11.5703125" customWidth="1"/>
    <col min="8" max="8" width="11.42578125" customWidth="1"/>
    <col min="10" max="10" width="8.85546875" customWidth="1"/>
    <col min="11" max="19" width="10.85546875" customWidth="1"/>
    <col min="20" max="20" width="12.5703125" customWidth="1"/>
    <col min="21" max="21" width="9.85546875" customWidth="1"/>
  </cols>
  <sheetData>
    <row r="1" spans="1:21" ht="15.75">
      <c r="A1" s="178" t="s">
        <v>81</v>
      </c>
      <c r="B1" s="179"/>
      <c r="C1" s="179"/>
      <c r="D1" s="179"/>
      <c r="E1" s="179"/>
      <c r="F1" s="178"/>
      <c r="G1" s="180"/>
      <c r="H1" s="181" t="s">
        <v>82</v>
      </c>
      <c r="I1" s="181"/>
      <c r="J1" s="181"/>
      <c r="K1" s="181"/>
      <c r="L1" s="181"/>
      <c r="M1" s="181"/>
      <c r="N1" s="181"/>
      <c r="O1" s="180"/>
      <c r="P1" s="180"/>
      <c r="Q1" s="180"/>
      <c r="R1" s="180"/>
      <c r="S1" s="180"/>
      <c r="T1" s="180"/>
    </row>
    <row r="2" spans="1:21">
      <c r="A2" s="182" t="s">
        <v>83</v>
      </c>
      <c r="B2" s="86"/>
      <c r="C2" s="86"/>
      <c r="D2" s="86"/>
      <c r="E2" s="86"/>
      <c r="F2" s="369" t="s">
        <v>84</v>
      </c>
      <c r="G2" s="183" t="s">
        <v>85</v>
      </c>
      <c r="H2" s="10" t="s">
        <v>86</v>
      </c>
      <c r="I2" s="10"/>
      <c r="J2" s="10"/>
      <c r="K2" s="10"/>
      <c r="L2" s="10"/>
      <c r="M2" s="10"/>
      <c r="N2" s="10"/>
      <c r="O2" s="10"/>
      <c r="P2" s="10"/>
      <c r="Q2" s="10"/>
      <c r="R2" s="12"/>
      <c r="S2" s="12"/>
      <c r="T2" s="183" t="s">
        <v>87</v>
      </c>
    </row>
    <row r="3" spans="1:21">
      <c r="A3" s="13"/>
      <c r="B3" s="14"/>
      <c r="C3" s="14"/>
      <c r="D3" s="14"/>
      <c r="E3" s="14"/>
      <c r="F3" s="370"/>
      <c r="G3" s="184" t="s">
        <v>88</v>
      </c>
      <c r="H3" s="185" t="s">
        <v>4</v>
      </c>
      <c r="I3" s="15" t="s">
        <v>5</v>
      </c>
      <c r="J3" s="15" t="s">
        <v>6</v>
      </c>
      <c r="K3" s="15" t="s">
        <v>7</v>
      </c>
      <c r="L3" s="15" t="s">
        <v>8</v>
      </c>
      <c r="M3" s="15" t="s">
        <v>9</v>
      </c>
      <c r="N3" s="15" t="s">
        <v>14</v>
      </c>
      <c r="O3" s="15" t="s">
        <v>15</v>
      </c>
      <c r="P3" s="15" t="s">
        <v>16</v>
      </c>
      <c r="Q3" s="15" t="s">
        <v>17</v>
      </c>
      <c r="R3" s="186" t="s">
        <v>18</v>
      </c>
      <c r="S3" s="186" t="s">
        <v>19</v>
      </c>
      <c r="T3" s="184"/>
    </row>
    <row r="4" spans="1:21">
      <c r="A4" s="71" t="s">
        <v>89</v>
      </c>
      <c r="B4" s="72"/>
      <c r="C4" s="72"/>
      <c r="D4" s="72"/>
      <c r="E4" s="72"/>
      <c r="F4" s="187">
        <v>25090303</v>
      </c>
      <c r="G4" s="187">
        <f>F4/12</f>
        <v>2090858.5833333333</v>
      </c>
      <c r="H4" s="188">
        <v>2150745</v>
      </c>
      <c r="I4" s="189"/>
      <c r="J4" s="189"/>
      <c r="K4" s="189"/>
      <c r="L4" s="189"/>
      <c r="M4" s="189"/>
      <c r="N4" s="189"/>
      <c r="O4" s="189"/>
      <c r="P4" s="189"/>
      <c r="Q4" s="189"/>
      <c r="R4" s="190"/>
      <c r="S4" s="190"/>
      <c r="T4" s="191">
        <f t="shared" ref="T4:T9" si="0">SUM(H4:S4)</f>
        <v>2150745</v>
      </c>
      <c r="U4" s="192"/>
    </row>
    <row r="5" spans="1:21">
      <c r="A5" s="71" t="s">
        <v>90</v>
      </c>
      <c r="B5" s="72"/>
      <c r="C5" s="72"/>
      <c r="D5" s="72"/>
      <c r="E5" s="72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4"/>
      <c r="S5" s="190"/>
      <c r="T5" s="191">
        <f t="shared" si="0"/>
        <v>0</v>
      </c>
    </row>
    <row r="6" spans="1:21">
      <c r="A6" s="71" t="s">
        <v>91</v>
      </c>
      <c r="B6" s="72"/>
      <c r="C6" s="72"/>
      <c r="D6" s="72"/>
      <c r="E6" s="72"/>
      <c r="F6" s="193"/>
      <c r="G6" s="193"/>
      <c r="H6" s="188">
        <v>36280</v>
      </c>
      <c r="I6" s="189"/>
      <c r="J6" s="189"/>
      <c r="K6" s="189"/>
      <c r="L6" s="189"/>
      <c r="M6" s="189"/>
      <c r="N6" s="189"/>
      <c r="O6" s="189"/>
      <c r="P6" s="189"/>
      <c r="Q6" s="189"/>
      <c r="R6" s="190"/>
      <c r="S6" s="190"/>
      <c r="T6" s="191">
        <f t="shared" si="0"/>
        <v>36280</v>
      </c>
    </row>
    <row r="7" spans="1:21">
      <c r="A7" s="71" t="s">
        <v>92</v>
      </c>
      <c r="B7" s="72"/>
      <c r="C7" s="72"/>
      <c r="D7" s="72"/>
      <c r="E7" s="72"/>
      <c r="F7" s="193"/>
      <c r="G7" s="193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90"/>
      <c r="S7" s="190"/>
      <c r="T7" s="191">
        <f t="shared" si="0"/>
        <v>0</v>
      </c>
      <c r="U7" s="86"/>
    </row>
    <row r="8" spans="1:21">
      <c r="A8" s="71" t="s">
        <v>93</v>
      </c>
      <c r="B8" s="72"/>
      <c r="C8" s="72"/>
      <c r="D8" s="72"/>
      <c r="E8" s="72"/>
      <c r="F8" s="193"/>
      <c r="G8" s="193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90"/>
      <c r="S8" s="190"/>
      <c r="T8" s="195">
        <f t="shared" si="0"/>
        <v>0</v>
      </c>
    </row>
    <row r="9" spans="1:21">
      <c r="A9" s="193" t="s">
        <v>94</v>
      </c>
      <c r="B9" s="71"/>
      <c r="C9" s="72"/>
      <c r="D9" s="72"/>
      <c r="E9" s="72"/>
      <c r="F9" s="193"/>
      <c r="G9" s="193"/>
      <c r="H9" s="188">
        <f>15000+99836+10860</f>
        <v>125696</v>
      </c>
      <c r="I9" s="189"/>
      <c r="J9" s="193"/>
      <c r="K9" s="193"/>
      <c r="L9" s="193"/>
      <c r="M9" s="193"/>
      <c r="N9" s="193"/>
      <c r="O9" s="193"/>
      <c r="P9" s="189"/>
      <c r="Q9" s="193"/>
      <c r="R9" s="194"/>
      <c r="S9" s="194"/>
      <c r="T9" s="195">
        <f t="shared" si="0"/>
        <v>125696</v>
      </c>
    </row>
    <row r="10" spans="1:21" ht="15.75">
      <c r="A10" s="196"/>
      <c r="B10" s="65" t="s">
        <v>95</v>
      </c>
      <c r="C10" s="65"/>
      <c r="D10" s="65"/>
      <c r="E10" s="65"/>
      <c r="F10" s="197">
        <f>SUM(F4:F9)</f>
        <v>25090303</v>
      </c>
      <c r="G10" s="197">
        <f>SUM(G4:G9)</f>
        <v>2090858.5833333333</v>
      </c>
      <c r="H10" s="198">
        <f>SUM(H4:H9)</f>
        <v>2312721</v>
      </c>
      <c r="I10" s="189"/>
      <c r="J10" s="189"/>
      <c r="K10" s="189"/>
      <c r="L10" s="189"/>
      <c r="M10" s="189"/>
      <c r="N10" s="189"/>
      <c r="O10" s="189"/>
      <c r="P10" s="189"/>
      <c r="Q10" s="189"/>
      <c r="R10" s="190"/>
      <c r="S10" s="190"/>
      <c r="T10" s="191">
        <f>SUM(T4:T9)</f>
        <v>2312721</v>
      </c>
    </row>
    <row r="11" spans="1:21">
      <c r="A11" s="72"/>
      <c r="B11" s="72"/>
      <c r="C11" s="72"/>
      <c r="D11" s="72"/>
      <c r="E11" s="72"/>
      <c r="F11" s="179" t="s">
        <v>96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99"/>
      <c r="S11" s="199"/>
      <c r="T11" s="179"/>
      <c r="U11" s="200" t="s">
        <v>97</v>
      </c>
    </row>
    <row r="12" spans="1:21">
      <c r="A12" s="71" t="s">
        <v>28</v>
      </c>
      <c r="B12" s="72"/>
      <c r="C12" s="72"/>
      <c r="D12" s="72"/>
      <c r="E12" s="72"/>
      <c r="F12" s="201">
        <v>900000</v>
      </c>
      <c r="G12" s="201">
        <f t="shared" ref="G12:G32" si="1">F12/12</f>
        <v>75000</v>
      </c>
      <c r="H12" s="202">
        <v>63332</v>
      </c>
      <c r="I12" s="189"/>
      <c r="J12" s="189"/>
      <c r="K12" s="189"/>
      <c r="L12" s="189"/>
      <c r="M12" s="189"/>
      <c r="N12" s="189"/>
      <c r="O12" s="189"/>
      <c r="P12" s="189"/>
      <c r="Q12" s="189"/>
      <c r="R12" s="190"/>
      <c r="S12" s="190"/>
      <c r="T12" s="203">
        <f t="shared" ref="T12:T32" si="2">SUM(H12:S12)</f>
        <v>63332</v>
      </c>
      <c r="U12" s="204">
        <f t="shared" ref="U12:U32" si="3">G12*12-T12</f>
        <v>836668</v>
      </c>
    </row>
    <row r="13" spans="1:21">
      <c r="A13" s="13" t="s">
        <v>29</v>
      </c>
      <c r="B13" s="14"/>
      <c r="C13" s="14"/>
      <c r="D13" s="14"/>
      <c r="E13" s="14"/>
      <c r="F13" s="205">
        <v>160000</v>
      </c>
      <c r="G13" s="201">
        <f t="shared" si="1"/>
        <v>13333.333333333334</v>
      </c>
      <c r="H13" s="206">
        <v>11634</v>
      </c>
      <c r="I13" s="207"/>
      <c r="J13" s="207"/>
      <c r="K13" s="207"/>
      <c r="L13" s="207"/>
      <c r="M13" s="207"/>
      <c r="N13" s="207"/>
      <c r="O13" s="207"/>
      <c r="P13" s="207"/>
      <c r="Q13" s="207"/>
      <c r="R13" s="208"/>
      <c r="S13" s="208"/>
      <c r="T13" s="191">
        <f t="shared" si="2"/>
        <v>11634</v>
      </c>
      <c r="U13" s="209">
        <f t="shared" si="3"/>
        <v>148366</v>
      </c>
    </row>
    <row r="14" spans="1:21">
      <c r="A14" s="71" t="s">
        <v>30</v>
      </c>
      <c r="B14" s="72"/>
      <c r="C14" s="72"/>
      <c r="D14" s="72"/>
      <c r="E14" s="77"/>
      <c r="F14" s="201">
        <v>140000</v>
      </c>
      <c r="G14" s="201">
        <f t="shared" si="1"/>
        <v>11666.666666666666</v>
      </c>
      <c r="H14" s="202">
        <v>6336</v>
      </c>
      <c r="I14" s="189"/>
      <c r="J14" s="189"/>
      <c r="K14" s="189"/>
      <c r="L14" s="189"/>
      <c r="M14" s="189"/>
      <c r="N14" s="189"/>
      <c r="O14" s="189"/>
      <c r="P14" s="189"/>
      <c r="Q14" s="189"/>
      <c r="R14" s="190"/>
      <c r="S14" s="190"/>
      <c r="T14" s="191">
        <f t="shared" si="2"/>
        <v>6336</v>
      </c>
      <c r="U14" s="204">
        <f t="shared" si="3"/>
        <v>133664</v>
      </c>
    </row>
    <row r="15" spans="1:21">
      <c r="A15" s="13" t="s">
        <v>31</v>
      </c>
      <c r="B15" s="14"/>
      <c r="C15" s="14"/>
      <c r="D15" s="14"/>
      <c r="E15" s="78"/>
      <c r="F15" s="205">
        <v>300000</v>
      </c>
      <c r="G15" s="201">
        <f t="shared" si="1"/>
        <v>25000</v>
      </c>
      <c r="H15" s="206">
        <v>70000</v>
      </c>
      <c r="I15" s="207"/>
      <c r="J15" s="207"/>
      <c r="K15" s="207"/>
      <c r="L15" s="207"/>
      <c r="M15" s="207"/>
      <c r="N15" s="207"/>
      <c r="O15" s="207"/>
      <c r="P15" s="207"/>
      <c r="Q15" s="207"/>
      <c r="R15" s="208"/>
      <c r="S15" s="208"/>
      <c r="T15" s="191">
        <f t="shared" si="2"/>
        <v>70000</v>
      </c>
      <c r="U15" s="209">
        <f t="shared" si="3"/>
        <v>230000</v>
      </c>
    </row>
    <row r="16" spans="1:21">
      <c r="A16" s="13" t="s">
        <v>32</v>
      </c>
      <c r="B16" s="14"/>
      <c r="C16" s="14"/>
      <c r="D16" s="14"/>
      <c r="E16" s="78"/>
      <c r="F16" s="205">
        <v>7890000</v>
      </c>
      <c r="G16" s="201">
        <f t="shared" si="1"/>
        <v>657500</v>
      </c>
      <c r="H16" s="206">
        <v>729871</v>
      </c>
      <c r="I16" s="207"/>
      <c r="J16" s="207"/>
      <c r="K16" s="207"/>
      <c r="L16" s="207"/>
      <c r="M16" s="207"/>
      <c r="N16" s="207"/>
      <c r="O16" s="207"/>
      <c r="P16" s="207"/>
      <c r="Q16" s="207"/>
      <c r="R16" s="208"/>
      <c r="S16" s="208"/>
      <c r="T16" s="191">
        <f t="shared" si="2"/>
        <v>729871</v>
      </c>
      <c r="U16" s="204">
        <f t="shared" si="3"/>
        <v>7160129</v>
      </c>
    </row>
    <row r="17" spans="1:23">
      <c r="A17" s="13" t="s">
        <v>33</v>
      </c>
      <c r="B17" s="14"/>
      <c r="C17" s="14"/>
      <c r="D17" s="14"/>
      <c r="E17" s="14"/>
      <c r="F17" s="205">
        <v>500000</v>
      </c>
      <c r="G17" s="201">
        <f t="shared" si="1"/>
        <v>41666.666666666664</v>
      </c>
      <c r="H17" s="206">
        <v>9200</v>
      </c>
      <c r="I17" s="207"/>
      <c r="J17" s="207"/>
      <c r="K17" s="207"/>
      <c r="L17" s="207"/>
      <c r="M17" s="207"/>
      <c r="N17" s="207"/>
      <c r="O17" s="207"/>
      <c r="P17" s="207"/>
      <c r="Q17" s="207"/>
      <c r="R17" s="208"/>
      <c r="S17" s="208"/>
      <c r="T17" s="191">
        <f t="shared" si="2"/>
        <v>9200</v>
      </c>
      <c r="U17" s="209">
        <f t="shared" si="3"/>
        <v>490800</v>
      </c>
    </row>
    <row r="18" spans="1:23">
      <c r="A18" s="13" t="s">
        <v>34</v>
      </c>
      <c r="B18" s="14"/>
      <c r="C18" s="14"/>
      <c r="D18" s="14"/>
      <c r="E18" s="14"/>
      <c r="F18" s="205">
        <v>2517000</v>
      </c>
      <c r="G18" s="201">
        <f t="shared" si="1"/>
        <v>209750</v>
      </c>
      <c r="H18" s="206">
        <v>215933</v>
      </c>
      <c r="I18" s="207"/>
      <c r="J18" s="207"/>
      <c r="K18" s="207"/>
      <c r="L18" s="207"/>
      <c r="M18" s="207"/>
      <c r="N18" s="207"/>
      <c r="O18" s="207"/>
      <c r="P18" s="207"/>
      <c r="Q18" s="207"/>
      <c r="R18" s="208"/>
      <c r="S18" s="208"/>
      <c r="T18" s="191">
        <f t="shared" si="2"/>
        <v>215933</v>
      </c>
      <c r="U18" s="204">
        <f t="shared" si="3"/>
        <v>2301067</v>
      </c>
    </row>
    <row r="19" spans="1:23">
      <c r="A19" s="13" t="s">
        <v>98</v>
      </c>
      <c r="B19" s="14"/>
      <c r="C19" s="14"/>
      <c r="D19" s="14"/>
      <c r="E19" s="14"/>
      <c r="F19" s="205">
        <v>200000</v>
      </c>
      <c r="G19" s="201">
        <f t="shared" si="1"/>
        <v>16666.666666666668</v>
      </c>
      <c r="H19" s="206">
        <v>0</v>
      </c>
      <c r="I19" s="207"/>
      <c r="J19" s="207"/>
      <c r="K19" s="207"/>
      <c r="L19" s="207"/>
      <c r="M19" s="207"/>
      <c r="N19" s="207"/>
      <c r="O19" s="207"/>
      <c r="P19" s="207"/>
      <c r="Q19" s="207"/>
      <c r="R19" s="208"/>
      <c r="S19" s="208"/>
      <c r="T19" s="203">
        <f t="shared" si="2"/>
        <v>0</v>
      </c>
      <c r="U19" s="209">
        <f t="shared" si="3"/>
        <v>200000</v>
      </c>
    </row>
    <row r="20" spans="1:23">
      <c r="A20" s="71" t="s">
        <v>36</v>
      </c>
      <c r="B20" s="72"/>
      <c r="C20" s="72"/>
      <c r="D20" s="72"/>
      <c r="E20" s="72"/>
      <c r="F20" s="201">
        <v>1950000</v>
      </c>
      <c r="G20" s="201">
        <f t="shared" si="1"/>
        <v>162500</v>
      </c>
      <c r="H20" s="210">
        <v>179000</v>
      </c>
      <c r="I20" s="189"/>
      <c r="J20" s="189"/>
      <c r="K20" s="189"/>
      <c r="L20" s="189"/>
      <c r="M20" s="189"/>
      <c r="N20" s="189"/>
      <c r="O20" s="189"/>
      <c r="P20" s="189"/>
      <c r="Q20" s="189"/>
      <c r="R20" s="190"/>
      <c r="S20" s="190"/>
      <c r="T20" s="191">
        <f t="shared" si="2"/>
        <v>179000</v>
      </c>
      <c r="U20" s="204">
        <f t="shared" si="3"/>
        <v>1771000</v>
      </c>
    </row>
    <row r="21" spans="1:23">
      <c r="A21" s="71" t="s">
        <v>37</v>
      </c>
      <c r="B21" s="72"/>
      <c r="C21" s="72"/>
      <c r="D21" s="72"/>
      <c r="E21" s="77"/>
      <c r="F21" s="201">
        <v>7400000</v>
      </c>
      <c r="G21" s="201">
        <f t="shared" si="1"/>
        <v>616666.66666666663</v>
      </c>
      <c r="H21" s="202">
        <v>566600</v>
      </c>
      <c r="I21" s="189"/>
      <c r="J21" s="189"/>
      <c r="K21" s="189"/>
      <c r="L21" s="189"/>
      <c r="M21" s="189"/>
      <c r="N21" s="189"/>
      <c r="O21" s="189"/>
      <c r="P21" s="189"/>
      <c r="Q21" s="189"/>
      <c r="R21" s="190"/>
      <c r="S21" s="190"/>
      <c r="T21" s="191">
        <f t="shared" si="2"/>
        <v>566600</v>
      </c>
      <c r="U21" s="209">
        <f t="shared" si="3"/>
        <v>6833400</v>
      </c>
    </row>
    <row r="22" spans="1:23">
      <c r="A22" s="13" t="s">
        <v>38</v>
      </c>
      <c r="B22" s="14"/>
      <c r="C22" s="14"/>
      <c r="D22" s="14"/>
      <c r="E22" s="14"/>
      <c r="F22" s="205">
        <v>230000</v>
      </c>
      <c r="G22" s="201">
        <f t="shared" si="1"/>
        <v>19166.666666666668</v>
      </c>
      <c r="H22" s="206">
        <v>17252</v>
      </c>
      <c r="I22" s="207"/>
      <c r="J22" s="207"/>
      <c r="K22" s="207"/>
      <c r="L22" s="207"/>
      <c r="M22" s="207"/>
      <c r="N22" s="207"/>
      <c r="O22" s="207"/>
      <c r="P22" s="207"/>
      <c r="Q22" s="207"/>
      <c r="R22" s="208"/>
      <c r="S22" s="208"/>
      <c r="T22" s="191">
        <f t="shared" si="2"/>
        <v>17252</v>
      </c>
      <c r="U22" s="204">
        <f t="shared" si="3"/>
        <v>212748</v>
      </c>
    </row>
    <row r="23" spans="1:23">
      <c r="A23" s="71" t="s">
        <v>39</v>
      </c>
      <c r="B23" s="72"/>
      <c r="C23" s="72"/>
      <c r="D23" s="72"/>
      <c r="E23" s="72"/>
      <c r="F23" s="201">
        <v>1240000</v>
      </c>
      <c r="G23" s="201">
        <f t="shared" si="1"/>
        <v>103333.33333333333</v>
      </c>
      <c r="H23" s="202">
        <v>128037</v>
      </c>
      <c r="I23" s="189"/>
      <c r="J23" s="189"/>
      <c r="K23" s="189"/>
      <c r="L23" s="189"/>
      <c r="M23" s="189"/>
      <c r="N23" s="189"/>
      <c r="O23" s="189"/>
      <c r="P23" s="189"/>
      <c r="Q23" s="189"/>
      <c r="R23" s="190"/>
      <c r="S23" s="190"/>
      <c r="T23" s="191">
        <f t="shared" si="2"/>
        <v>128037</v>
      </c>
      <c r="U23" s="209">
        <f t="shared" si="3"/>
        <v>1111963</v>
      </c>
    </row>
    <row r="24" spans="1:23">
      <c r="A24" s="71" t="s">
        <v>99</v>
      </c>
      <c r="B24" s="72"/>
      <c r="C24" s="72"/>
      <c r="D24" s="72"/>
      <c r="E24" s="72"/>
      <c r="F24" s="201">
        <f>250000+480000</f>
        <v>730000</v>
      </c>
      <c r="G24" s="201">
        <f t="shared" si="1"/>
        <v>60833.333333333336</v>
      </c>
      <c r="H24" s="202">
        <v>72400</v>
      </c>
      <c r="I24" s="189"/>
      <c r="J24" s="189"/>
      <c r="K24" s="189"/>
      <c r="L24" s="189"/>
      <c r="M24" s="189"/>
      <c r="N24" s="189"/>
      <c r="O24" s="189"/>
      <c r="P24" s="189"/>
      <c r="Q24" s="189"/>
      <c r="R24" s="190"/>
      <c r="S24" s="190"/>
      <c r="T24" s="191">
        <f t="shared" si="2"/>
        <v>72400</v>
      </c>
      <c r="U24" s="204">
        <f t="shared" si="3"/>
        <v>657600</v>
      </c>
    </row>
    <row r="25" spans="1:23">
      <c r="A25" s="71" t="s">
        <v>41</v>
      </c>
      <c r="B25" s="72"/>
      <c r="C25" s="72"/>
      <c r="D25" s="72"/>
      <c r="E25" s="72"/>
      <c r="F25" s="201">
        <v>250000</v>
      </c>
      <c r="G25" s="201">
        <f t="shared" si="1"/>
        <v>20833.333333333332</v>
      </c>
      <c r="H25" s="202">
        <v>1080</v>
      </c>
      <c r="I25" s="189"/>
      <c r="J25" s="189"/>
      <c r="K25" s="189"/>
      <c r="L25" s="189"/>
      <c r="M25" s="189"/>
      <c r="N25" s="189"/>
      <c r="O25" s="189"/>
      <c r="P25" s="189"/>
      <c r="Q25" s="189"/>
      <c r="R25" s="190"/>
      <c r="S25" s="190"/>
      <c r="T25" s="203">
        <f t="shared" si="2"/>
        <v>1080</v>
      </c>
      <c r="U25" s="209">
        <f t="shared" si="3"/>
        <v>248920</v>
      </c>
    </row>
    <row r="26" spans="1:23">
      <c r="A26" s="71" t="s">
        <v>42</v>
      </c>
      <c r="B26" s="72"/>
      <c r="C26" s="72"/>
      <c r="D26" s="72"/>
      <c r="E26" s="72"/>
      <c r="F26" s="201">
        <v>1800000</v>
      </c>
      <c r="G26" s="201">
        <f t="shared" si="1"/>
        <v>150000</v>
      </c>
      <c r="H26" s="202">
        <v>98486</v>
      </c>
      <c r="I26" s="189"/>
      <c r="J26" s="189"/>
      <c r="K26" s="189"/>
      <c r="L26" s="189"/>
      <c r="M26" s="189"/>
      <c r="N26" s="189"/>
      <c r="O26" s="189"/>
      <c r="P26" s="189"/>
      <c r="Q26" s="189"/>
      <c r="R26" s="190"/>
      <c r="S26" s="190"/>
      <c r="T26" s="191">
        <f t="shared" si="2"/>
        <v>98486</v>
      </c>
      <c r="U26" s="204">
        <f t="shared" si="3"/>
        <v>1701514</v>
      </c>
    </row>
    <row r="27" spans="1:23">
      <c r="A27" s="71" t="s">
        <v>43</v>
      </c>
      <c r="B27" s="72"/>
      <c r="C27" s="72"/>
      <c r="D27" s="72"/>
      <c r="E27" s="72"/>
      <c r="F27" s="201">
        <v>1700000</v>
      </c>
      <c r="G27" s="201">
        <f t="shared" si="1"/>
        <v>141666.66666666666</v>
      </c>
      <c r="H27" s="210">
        <v>0</v>
      </c>
      <c r="I27" s="189"/>
      <c r="J27" s="189"/>
      <c r="K27" s="193"/>
      <c r="L27" s="193"/>
      <c r="M27" s="193"/>
      <c r="N27" s="189"/>
      <c r="O27" s="189"/>
      <c r="P27" s="189"/>
      <c r="Q27" s="189"/>
      <c r="R27" s="190"/>
      <c r="S27" s="190"/>
      <c r="T27" s="203">
        <f t="shared" si="2"/>
        <v>0</v>
      </c>
      <c r="U27" s="209">
        <f t="shared" si="3"/>
        <v>1700000</v>
      </c>
    </row>
    <row r="28" spans="1:23">
      <c r="A28" s="71" t="s">
        <v>100</v>
      </c>
      <c r="B28" s="72"/>
      <c r="C28" s="72"/>
      <c r="D28" s="72"/>
      <c r="E28" s="72"/>
      <c r="F28" s="201"/>
      <c r="G28" s="201">
        <f t="shared" si="1"/>
        <v>0</v>
      </c>
      <c r="H28" s="189">
        <v>0</v>
      </c>
      <c r="I28" s="189"/>
      <c r="J28" s="189"/>
      <c r="K28" s="193"/>
      <c r="L28" s="193"/>
      <c r="M28" s="193"/>
      <c r="N28" s="189"/>
      <c r="O28" s="189"/>
      <c r="P28" s="189"/>
      <c r="Q28" s="189"/>
      <c r="R28" s="190"/>
      <c r="S28" s="190"/>
      <c r="T28" s="203">
        <f t="shared" si="2"/>
        <v>0</v>
      </c>
      <c r="U28" s="204">
        <f t="shared" si="3"/>
        <v>0</v>
      </c>
    </row>
    <row r="29" spans="1:23">
      <c r="A29" s="71" t="s">
        <v>101</v>
      </c>
      <c r="B29" s="72"/>
      <c r="C29" s="72"/>
      <c r="D29" s="72"/>
      <c r="E29" s="72"/>
      <c r="F29" s="201">
        <v>600000</v>
      </c>
      <c r="G29" s="201">
        <f t="shared" si="1"/>
        <v>50000</v>
      </c>
      <c r="H29" s="202">
        <v>22864</v>
      </c>
      <c r="I29" s="189"/>
      <c r="J29" s="189"/>
      <c r="K29" s="193"/>
      <c r="L29" s="193"/>
      <c r="M29" s="193"/>
      <c r="N29" s="189"/>
      <c r="O29" s="189"/>
      <c r="P29" s="189"/>
      <c r="Q29" s="189"/>
      <c r="R29" s="190"/>
      <c r="S29" s="190"/>
      <c r="T29" s="191">
        <f t="shared" si="2"/>
        <v>22864</v>
      </c>
      <c r="U29" s="209">
        <f t="shared" si="3"/>
        <v>577136</v>
      </c>
    </row>
    <row r="30" spans="1:23">
      <c r="A30" s="71" t="s">
        <v>45</v>
      </c>
      <c r="B30" s="72"/>
      <c r="C30" s="72"/>
      <c r="D30" s="72"/>
      <c r="E30" s="72"/>
      <c r="F30" s="201">
        <v>250000</v>
      </c>
      <c r="G30" s="201">
        <f t="shared" si="1"/>
        <v>20833.333333333332</v>
      </c>
      <c r="H30" s="202">
        <v>11304</v>
      </c>
      <c r="I30" s="189"/>
      <c r="J30" s="189"/>
      <c r="K30" s="189"/>
      <c r="L30" s="189"/>
      <c r="M30" s="189"/>
      <c r="N30" s="189"/>
      <c r="O30" s="189"/>
      <c r="P30" s="189"/>
      <c r="Q30" s="189"/>
      <c r="R30" s="190"/>
      <c r="S30" s="190"/>
      <c r="T30" s="191">
        <f t="shared" si="2"/>
        <v>11304</v>
      </c>
      <c r="U30" s="204">
        <f t="shared" si="3"/>
        <v>238696</v>
      </c>
    </row>
    <row r="31" spans="1:23">
      <c r="A31" s="71" t="s">
        <v>102</v>
      </c>
      <c r="B31" s="72"/>
      <c r="C31" s="72"/>
      <c r="D31" s="72"/>
      <c r="E31" s="72"/>
      <c r="F31" s="201">
        <v>719200</v>
      </c>
      <c r="G31" s="201">
        <f t="shared" si="1"/>
        <v>59933.333333333336</v>
      </c>
      <c r="H31" s="189">
        <v>0</v>
      </c>
      <c r="I31" s="189"/>
      <c r="J31" s="189"/>
      <c r="K31" s="189"/>
      <c r="L31" s="189"/>
      <c r="M31" s="189"/>
      <c r="N31" s="189"/>
      <c r="O31" s="189"/>
      <c r="P31" s="189"/>
      <c r="Q31" s="189"/>
      <c r="R31" s="190"/>
      <c r="S31" s="190"/>
      <c r="T31" s="191">
        <f t="shared" si="2"/>
        <v>0</v>
      </c>
      <c r="U31" s="209">
        <f t="shared" si="3"/>
        <v>719200</v>
      </c>
    </row>
    <row r="32" spans="1:23">
      <c r="A32" s="71" t="s">
        <v>47</v>
      </c>
      <c r="B32" s="72"/>
      <c r="C32" s="72"/>
      <c r="D32" s="72"/>
      <c r="E32" s="72"/>
      <c r="F32" s="201">
        <v>1473800</v>
      </c>
      <c r="G32" s="201">
        <f t="shared" si="1"/>
        <v>122816.66666666667</v>
      </c>
      <c r="H32" s="189">
        <v>0</v>
      </c>
      <c r="I32" s="189"/>
      <c r="J32" s="189"/>
      <c r="K32" s="193"/>
      <c r="L32" s="193"/>
      <c r="M32" s="193"/>
      <c r="N32" s="189"/>
      <c r="O32" s="189"/>
      <c r="P32" s="189"/>
      <c r="Q32" s="189"/>
      <c r="R32" s="190"/>
      <c r="S32" s="190"/>
      <c r="T32" s="203">
        <f t="shared" si="2"/>
        <v>0</v>
      </c>
      <c r="U32" s="209">
        <f t="shared" si="3"/>
        <v>1473800</v>
      </c>
      <c r="V32" s="86"/>
      <c r="W32" s="86"/>
    </row>
    <row r="33" spans="1:21" ht="15.75">
      <c r="A33" s="211" t="s">
        <v>103</v>
      </c>
      <c r="B33" s="179"/>
      <c r="C33" s="72"/>
      <c r="D33" s="72"/>
      <c r="E33" s="72"/>
      <c r="F33" s="212">
        <f>SUM(F12:F32)</f>
        <v>30950000</v>
      </c>
      <c r="G33" s="212">
        <f>SUM(G12:G32)</f>
        <v>2579166.6666666665</v>
      </c>
      <c r="H33" s="212">
        <f>SUM(H12:H32)</f>
        <v>2203329</v>
      </c>
      <c r="I33" s="189">
        <f t="shared" ref="I33:T33" si="4">SUM(I12:I32)</f>
        <v>0</v>
      </c>
      <c r="J33" s="189">
        <f t="shared" si="4"/>
        <v>0</v>
      </c>
      <c r="K33" s="189">
        <f t="shared" si="4"/>
        <v>0</v>
      </c>
      <c r="L33" s="189">
        <f t="shared" si="4"/>
        <v>0</v>
      </c>
      <c r="M33" s="189">
        <f t="shared" si="4"/>
        <v>0</v>
      </c>
      <c r="N33" s="189">
        <f t="shared" si="4"/>
        <v>0</v>
      </c>
      <c r="O33" s="189">
        <f t="shared" si="4"/>
        <v>0</v>
      </c>
      <c r="P33" s="189">
        <f t="shared" si="4"/>
        <v>0</v>
      </c>
      <c r="Q33" s="189">
        <f t="shared" si="4"/>
        <v>0</v>
      </c>
      <c r="R33" s="190">
        <f t="shared" si="4"/>
        <v>0</v>
      </c>
      <c r="S33" s="190">
        <f t="shared" si="4"/>
        <v>0</v>
      </c>
      <c r="T33" s="191">
        <f t="shared" si="4"/>
        <v>2203329</v>
      </c>
      <c r="U33" s="204">
        <f>SUM(U12:U32)</f>
        <v>28746671</v>
      </c>
    </row>
    <row r="35" spans="1:21">
      <c r="Q35" s="213"/>
    </row>
    <row r="37" spans="1:21">
      <c r="T37" s="192"/>
    </row>
    <row r="40" spans="1:21">
      <c r="O40" s="86"/>
    </row>
  </sheetData>
  <mergeCells count="1">
    <mergeCell ref="F2:F3"/>
  </mergeCells>
  <phoneticPr fontId="22" type="noConversion"/>
  <pageMargins left="0.70866141732283472" right="0.70866141732283472" top="0" bottom="0" header="0" footer="0"/>
  <pageSetup paperSize="9" firstPageNumber="4294967295" orientation="landscape" verticalDpi="1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92"/>
  <sheetViews>
    <sheetView topLeftCell="A55" workbookViewId="0">
      <selection activeCell="A81" sqref="A81"/>
    </sheetView>
  </sheetViews>
  <sheetFormatPr defaultRowHeight="15"/>
  <cols>
    <col min="1" max="1" width="34.85546875" style="95" bestFit="1" customWidth="1"/>
    <col min="2" max="2" width="9.140625" style="1"/>
    <col min="3" max="3" width="10.7109375" style="1" customWidth="1"/>
    <col min="4" max="4" width="9.140625" style="1"/>
    <col min="5" max="5" width="11.85546875" style="1" bestFit="1" customWidth="1"/>
    <col min="6" max="6" width="9.140625" style="1"/>
    <col min="7" max="7" width="8" style="1" customWidth="1"/>
    <col min="8" max="8" width="8.140625" style="1" customWidth="1"/>
    <col min="9" max="9" width="8" style="1" customWidth="1"/>
    <col min="10" max="10" width="8.140625" style="1" customWidth="1"/>
    <col min="11" max="12" width="7.7109375" style="1" customWidth="1"/>
    <col min="13" max="13" width="9.140625" style="1"/>
    <col min="14" max="14" width="12.85546875" style="96" bestFit="1" customWidth="1"/>
  </cols>
  <sheetData>
    <row r="1" spans="1:14">
      <c r="A1" s="214" t="s">
        <v>28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5"/>
      <c r="I1" s="215"/>
      <c r="J1" s="215"/>
      <c r="K1" s="215"/>
      <c r="L1" s="215"/>
      <c r="M1" s="215"/>
      <c r="N1" s="217"/>
    </row>
    <row r="2" spans="1:14">
      <c r="A2" s="218"/>
      <c r="B2" s="219" t="s">
        <v>4</v>
      </c>
      <c r="C2" s="219" t="s">
        <v>5</v>
      </c>
      <c r="D2" s="220" t="s">
        <v>6</v>
      </c>
      <c r="E2" s="219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22" t="s">
        <v>104</v>
      </c>
    </row>
    <row r="3" spans="1:14">
      <c r="A3" s="223"/>
      <c r="B3" s="224"/>
      <c r="C3" s="224"/>
      <c r="D3" s="225"/>
      <c r="E3" s="224"/>
      <c r="F3" s="224"/>
      <c r="G3" s="226"/>
      <c r="H3" s="224"/>
      <c r="I3" s="226"/>
      <c r="J3" s="224"/>
      <c r="K3" s="224"/>
      <c r="L3" s="224"/>
      <c r="M3" s="224"/>
      <c r="N3" s="227"/>
    </row>
    <row r="4" spans="1:14">
      <c r="A4" s="228" t="s">
        <v>105</v>
      </c>
      <c r="B4" s="229">
        <v>11000</v>
      </c>
      <c r="C4" s="229">
        <v>11000</v>
      </c>
      <c r="D4" s="229">
        <v>11000</v>
      </c>
      <c r="E4" s="229">
        <v>11000</v>
      </c>
      <c r="F4" s="229">
        <v>11000</v>
      </c>
      <c r="G4" s="230">
        <v>11000</v>
      </c>
      <c r="H4" s="229">
        <v>11000</v>
      </c>
      <c r="I4" s="230">
        <v>11000</v>
      </c>
      <c r="J4" s="229">
        <v>11000</v>
      </c>
      <c r="K4" s="229">
        <v>11000</v>
      </c>
      <c r="L4" s="229"/>
      <c r="M4" s="229"/>
      <c r="N4" s="227">
        <f t="shared" ref="N4:N27" si="0">SUM(B4:M4)</f>
        <v>110000</v>
      </c>
    </row>
    <row r="5" spans="1:14">
      <c r="A5" s="228" t="s">
        <v>106</v>
      </c>
      <c r="B5" s="229">
        <v>6000</v>
      </c>
      <c r="C5" s="229">
        <v>8000</v>
      </c>
      <c r="D5" s="229">
        <v>8000</v>
      </c>
      <c r="E5" s="224">
        <v>8000</v>
      </c>
      <c r="F5" s="224">
        <v>8000</v>
      </c>
      <c r="G5" s="226">
        <v>6000</v>
      </c>
      <c r="H5" s="224">
        <v>7000</v>
      </c>
      <c r="I5" s="226">
        <v>8000</v>
      </c>
      <c r="J5" s="224">
        <f>8000+1000</f>
        <v>9000</v>
      </c>
      <c r="K5" s="224">
        <v>6000</v>
      </c>
      <c r="L5" s="224"/>
      <c r="M5" s="224"/>
      <c r="N5" s="227">
        <f t="shared" si="0"/>
        <v>74000</v>
      </c>
    </row>
    <row r="6" spans="1:14">
      <c r="A6" s="228" t="s">
        <v>107</v>
      </c>
      <c r="B6" s="231">
        <v>9771.11</v>
      </c>
      <c r="C6" s="229">
        <v>5806.88</v>
      </c>
      <c r="D6" s="229">
        <v>6937.1</v>
      </c>
      <c r="E6" s="314">
        <v>5865.16</v>
      </c>
      <c r="F6" s="229">
        <v>5445.02</v>
      </c>
      <c r="G6" s="230">
        <v>5457.9</v>
      </c>
      <c r="H6" s="229">
        <v>12933.49</v>
      </c>
      <c r="I6" s="229">
        <v>3762.66</v>
      </c>
      <c r="J6" s="229">
        <v>6429.94</v>
      </c>
      <c r="K6" s="229">
        <v>4391.29</v>
      </c>
      <c r="L6" s="229"/>
      <c r="M6" s="229"/>
      <c r="N6" s="227">
        <f t="shared" si="0"/>
        <v>66800.55</v>
      </c>
    </row>
    <row r="7" spans="1:14">
      <c r="A7" s="228" t="s">
        <v>181</v>
      </c>
      <c r="B7" s="231"/>
      <c r="C7" s="229">
        <v>7830</v>
      </c>
      <c r="D7" s="229"/>
      <c r="E7" s="230"/>
      <c r="F7" s="229">
        <f>17553+5684+7831</f>
        <v>31068</v>
      </c>
      <c r="G7" s="230"/>
      <c r="H7" s="229"/>
      <c r="I7" s="229">
        <v>9782</v>
      </c>
      <c r="J7" s="229"/>
      <c r="K7" s="229"/>
      <c r="L7" s="229"/>
      <c r="M7" s="229"/>
      <c r="N7" s="227">
        <f t="shared" si="0"/>
        <v>48680</v>
      </c>
    </row>
    <row r="8" spans="1:14">
      <c r="A8" s="232" t="s">
        <v>108</v>
      </c>
      <c r="B8" s="229">
        <f>1890</f>
        <v>1890</v>
      </c>
      <c r="C8" s="229">
        <v>2829</v>
      </c>
      <c r="D8" s="229"/>
      <c r="E8" s="230"/>
      <c r="F8" s="229"/>
      <c r="G8" s="230">
        <f>300+278.4</f>
        <v>578.4</v>
      </c>
      <c r="H8" s="229"/>
      <c r="I8" s="229"/>
      <c r="J8" s="229"/>
      <c r="K8" s="229"/>
      <c r="L8" s="229"/>
      <c r="M8" s="229"/>
      <c r="N8" s="227">
        <f t="shared" si="0"/>
        <v>5297.4</v>
      </c>
    </row>
    <row r="9" spans="1:14">
      <c r="A9" s="223" t="s">
        <v>109</v>
      </c>
      <c r="B9" s="224">
        <v>3141</v>
      </c>
      <c r="C9" s="224">
        <v>2094</v>
      </c>
      <c r="D9" s="224">
        <f>2094+2094+2094</f>
        <v>6282</v>
      </c>
      <c r="E9" s="226">
        <v>2054</v>
      </c>
      <c r="F9" s="224">
        <f>2045+2273.11+2079.2+2094</f>
        <v>8491.3100000000013</v>
      </c>
      <c r="G9" s="226">
        <f>2604+2112.18</f>
        <v>4716.18</v>
      </c>
      <c r="H9" s="224"/>
      <c r="I9" s="226">
        <f>2339+2200.83</f>
        <v>4539.83</v>
      </c>
      <c r="J9" s="224">
        <v>1971.6</v>
      </c>
      <c r="K9" s="224">
        <f>2079.2</f>
        <v>2079.1999999999998</v>
      </c>
      <c r="L9" s="224"/>
      <c r="M9" s="224"/>
      <c r="N9" s="227">
        <f t="shared" si="0"/>
        <v>35369.119999999995</v>
      </c>
    </row>
    <row r="10" spans="1:14">
      <c r="A10" s="233" t="s">
        <v>110</v>
      </c>
      <c r="B10" s="224">
        <v>920</v>
      </c>
      <c r="C10" s="224"/>
      <c r="D10" s="224">
        <v>108.89</v>
      </c>
      <c r="E10" s="226">
        <v>1400</v>
      </c>
      <c r="F10" s="224"/>
      <c r="G10" s="226">
        <v>1400</v>
      </c>
      <c r="H10" s="224"/>
      <c r="I10" s="226">
        <v>600</v>
      </c>
      <c r="J10" s="224"/>
      <c r="K10" s="224">
        <f>400+400</f>
        <v>800</v>
      </c>
      <c r="L10" s="224"/>
      <c r="M10" s="224"/>
      <c r="N10" s="227">
        <f t="shared" si="0"/>
        <v>5228.8900000000003</v>
      </c>
    </row>
    <row r="11" spans="1:14">
      <c r="A11" s="232" t="s">
        <v>111</v>
      </c>
      <c r="B11" s="229">
        <v>4685.18</v>
      </c>
      <c r="C11" s="229"/>
      <c r="D11" s="229">
        <f>143.5+5300.92</f>
        <v>5444.42</v>
      </c>
      <c r="E11" s="230"/>
      <c r="F11" s="229">
        <v>3829.65</v>
      </c>
      <c r="G11" s="230">
        <v>3076.9</v>
      </c>
      <c r="H11" s="229">
        <f>3227.53+479</f>
        <v>3706.53</v>
      </c>
      <c r="I11" s="230">
        <f>196.79+1062</f>
        <v>1258.79</v>
      </c>
      <c r="J11" s="229"/>
      <c r="K11" s="229">
        <v>3640.11</v>
      </c>
      <c r="L11" s="229"/>
      <c r="M11" s="229"/>
      <c r="N11" s="227">
        <f t="shared" si="0"/>
        <v>25641.58</v>
      </c>
    </row>
    <row r="12" spans="1:14">
      <c r="A12" s="232" t="s">
        <v>112</v>
      </c>
      <c r="B12" s="224">
        <f>2250+1800+6000</f>
        <v>10050</v>
      </c>
      <c r="C12" s="224"/>
      <c r="D12" s="224">
        <v>1200</v>
      </c>
      <c r="E12" s="226"/>
      <c r="F12" s="224">
        <v>6000</v>
      </c>
      <c r="G12" s="226"/>
      <c r="H12" s="224"/>
      <c r="I12" s="226"/>
      <c r="J12" s="224"/>
      <c r="K12" s="224">
        <v>3000</v>
      </c>
      <c r="L12" s="224"/>
      <c r="M12" s="224"/>
      <c r="N12" s="227">
        <f t="shared" si="0"/>
        <v>20250</v>
      </c>
    </row>
    <row r="13" spans="1:14">
      <c r="A13" s="232" t="s">
        <v>113</v>
      </c>
      <c r="B13" s="224">
        <f>31+212</f>
        <v>243</v>
      </c>
      <c r="C13" s="224"/>
      <c r="D13" s="224">
        <f>731.78+28+25+53</f>
        <v>837.78</v>
      </c>
      <c r="E13" s="226">
        <v>107.4</v>
      </c>
      <c r="F13" s="224">
        <f>73.4+193.9+150</f>
        <v>417.3</v>
      </c>
      <c r="G13" s="226"/>
      <c r="H13" s="224"/>
      <c r="I13" s="226">
        <f>97+52+27</f>
        <v>176</v>
      </c>
      <c r="J13" s="224"/>
      <c r="K13" s="224">
        <f>27+54+215</f>
        <v>296</v>
      </c>
      <c r="L13" s="224"/>
      <c r="M13" s="224"/>
      <c r="N13" s="227">
        <f>SUM(B13:M13)</f>
        <v>2077.48</v>
      </c>
    </row>
    <row r="14" spans="1:14">
      <c r="A14" s="232" t="s">
        <v>114</v>
      </c>
      <c r="B14" s="224">
        <v>1698</v>
      </c>
      <c r="C14" s="224"/>
      <c r="D14" s="224"/>
      <c r="E14" s="226"/>
      <c r="F14" s="224"/>
      <c r="G14" s="226"/>
      <c r="H14" s="224"/>
      <c r="I14" s="226"/>
      <c r="J14" s="224"/>
      <c r="K14" s="224"/>
      <c r="L14" s="224"/>
      <c r="M14" s="224"/>
      <c r="N14" s="227">
        <f t="shared" si="0"/>
        <v>1698</v>
      </c>
    </row>
    <row r="15" spans="1:14">
      <c r="A15" s="232" t="s">
        <v>115</v>
      </c>
      <c r="B15" s="224">
        <v>121</v>
      </c>
      <c r="C15" s="224"/>
      <c r="D15" s="224"/>
      <c r="E15" s="226"/>
      <c r="F15" s="224"/>
      <c r="G15" s="226"/>
      <c r="H15" s="224"/>
      <c r="I15" s="226"/>
      <c r="J15" s="224"/>
      <c r="K15" s="224"/>
      <c r="L15" s="224"/>
      <c r="M15" s="224"/>
      <c r="N15" s="227">
        <f t="shared" si="0"/>
        <v>121</v>
      </c>
    </row>
    <row r="16" spans="1:14">
      <c r="A16" s="232" t="s">
        <v>116</v>
      </c>
      <c r="B16" s="224">
        <v>200</v>
      </c>
      <c r="C16" s="224"/>
      <c r="D16" s="224"/>
      <c r="E16" s="226"/>
      <c r="F16" s="224"/>
      <c r="G16" s="226"/>
      <c r="H16" s="224"/>
      <c r="I16" s="226"/>
      <c r="J16" s="224"/>
      <c r="K16" s="224"/>
      <c r="L16" s="224"/>
      <c r="M16" s="224"/>
      <c r="N16" s="227">
        <f t="shared" si="0"/>
        <v>200</v>
      </c>
    </row>
    <row r="17" spans="1:14">
      <c r="A17" s="234" t="s">
        <v>117</v>
      </c>
      <c r="B17" s="224">
        <v>2900</v>
      </c>
      <c r="C17" s="224"/>
      <c r="D17" s="224"/>
      <c r="E17" s="235"/>
      <c r="F17" s="224"/>
      <c r="G17" s="226"/>
      <c r="H17" s="224"/>
      <c r="I17" s="226"/>
      <c r="J17" s="224"/>
      <c r="K17" s="224"/>
      <c r="L17" s="224"/>
      <c r="M17" s="224"/>
      <c r="N17" s="227">
        <f t="shared" si="0"/>
        <v>2900</v>
      </c>
    </row>
    <row r="18" spans="1:14">
      <c r="A18" s="236" t="s">
        <v>118</v>
      </c>
      <c r="B18" s="237">
        <v>460</v>
      </c>
      <c r="C18" s="237"/>
      <c r="D18" s="237"/>
      <c r="E18" s="238"/>
      <c r="F18" s="237"/>
      <c r="G18" s="238"/>
      <c r="H18" s="237"/>
      <c r="I18" s="238"/>
      <c r="J18" s="237"/>
      <c r="K18" s="237"/>
      <c r="L18" s="237"/>
      <c r="M18" s="237"/>
      <c r="N18" s="227">
        <f t="shared" si="0"/>
        <v>460</v>
      </c>
    </row>
    <row r="19" spans="1:14">
      <c r="A19" s="232" t="s">
        <v>119</v>
      </c>
      <c r="B19" s="224">
        <v>48</v>
      </c>
      <c r="C19" s="224"/>
      <c r="D19" s="224"/>
      <c r="E19" s="226"/>
      <c r="F19" s="229"/>
      <c r="G19" s="226"/>
      <c r="H19" s="224"/>
      <c r="I19" s="226"/>
      <c r="J19" s="224"/>
      <c r="K19" s="224"/>
      <c r="L19" s="224"/>
      <c r="M19" s="224"/>
      <c r="N19" s="227">
        <f t="shared" si="0"/>
        <v>48</v>
      </c>
    </row>
    <row r="20" spans="1:14">
      <c r="A20" s="232" t="s">
        <v>120</v>
      </c>
      <c r="B20" s="229">
        <v>330</v>
      </c>
      <c r="C20" s="229">
        <v>197</v>
      </c>
      <c r="D20" s="229"/>
      <c r="E20" s="230"/>
      <c r="F20" s="229"/>
      <c r="G20" s="230">
        <v>800</v>
      </c>
      <c r="H20" s="229"/>
      <c r="I20" s="230"/>
      <c r="J20" s="229"/>
      <c r="K20" s="229"/>
      <c r="L20" s="229"/>
      <c r="M20" s="229"/>
      <c r="N20" s="227">
        <f t="shared" si="0"/>
        <v>1327</v>
      </c>
    </row>
    <row r="21" spans="1:14" ht="26.25">
      <c r="A21" s="223" t="s">
        <v>121</v>
      </c>
      <c r="B21" s="224">
        <v>29680</v>
      </c>
      <c r="C21" s="224"/>
      <c r="D21" s="224"/>
      <c r="E21" s="226"/>
      <c r="F21" s="224"/>
      <c r="G21" s="226"/>
      <c r="H21" s="224"/>
      <c r="I21" s="226"/>
      <c r="J21" s="224"/>
      <c r="K21" s="224"/>
      <c r="L21" s="224"/>
      <c r="M21" s="224"/>
      <c r="N21" s="227">
        <f t="shared" si="0"/>
        <v>29680</v>
      </c>
    </row>
    <row r="22" spans="1:14">
      <c r="A22" s="223" t="s">
        <v>172</v>
      </c>
      <c r="B22" s="224"/>
      <c r="C22" s="224">
        <f>74513.25+1911</f>
        <v>76424.25</v>
      </c>
      <c r="D22" s="224"/>
      <c r="E22" s="226"/>
      <c r="F22" s="224">
        <v>31035</v>
      </c>
      <c r="G22" s="226"/>
      <c r="H22" s="224"/>
      <c r="I22" s="226"/>
      <c r="J22" s="224"/>
      <c r="K22" s="224"/>
      <c r="L22" s="224"/>
      <c r="M22" s="224"/>
      <c r="N22" s="227">
        <f t="shared" si="0"/>
        <v>107459.25</v>
      </c>
    </row>
    <row r="23" spans="1:14">
      <c r="A23" s="233" t="s">
        <v>175</v>
      </c>
      <c r="B23" s="224"/>
      <c r="C23" s="224">
        <v>19300</v>
      </c>
      <c r="D23" s="224"/>
      <c r="E23" s="226"/>
      <c r="F23" s="239"/>
      <c r="G23" s="226"/>
      <c r="H23" s="224"/>
      <c r="I23" s="226"/>
      <c r="J23" s="224"/>
      <c r="K23" s="224"/>
      <c r="L23" s="224"/>
      <c r="M23" s="224"/>
      <c r="N23" s="227">
        <f t="shared" si="0"/>
        <v>19300</v>
      </c>
    </row>
    <row r="24" spans="1:14">
      <c r="A24" s="232" t="s">
        <v>184</v>
      </c>
      <c r="B24" s="229"/>
      <c r="C24" s="229">
        <v>1970</v>
      </c>
      <c r="D24" s="229"/>
      <c r="E24" s="240"/>
      <c r="F24" s="229"/>
      <c r="G24" s="229"/>
      <c r="H24" s="229"/>
      <c r="I24" s="229"/>
      <c r="J24" s="229"/>
      <c r="K24" s="229"/>
      <c r="L24" s="229"/>
      <c r="M24" s="229"/>
      <c r="N24" s="227">
        <f t="shared" si="0"/>
        <v>1970</v>
      </c>
    </row>
    <row r="25" spans="1:14">
      <c r="A25" s="232" t="s">
        <v>186</v>
      </c>
      <c r="B25" s="229"/>
      <c r="C25" s="229">
        <v>2000</v>
      </c>
      <c r="D25" s="229"/>
      <c r="E25" s="226"/>
      <c r="F25" s="224"/>
      <c r="G25" s="226"/>
      <c r="H25" s="224"/>
      <c r="I25" s="226"/>
      <c r="J25" s="224"/>
      <c r="K25" s="224"/>
      <c r="L25" s="224"/>
      <c r="M25" s="224"/>
      <c r="N25" s="227">
        <f t="shared" si="0"/>
        <v>2000</v>
      </c>
    </row>
    <row r="26" spans="1:14">
      <c r="A26" s="241" t="s">
        <v>195</v>
      </c>
      <c r="B26" s="242"/>
      <c r="C26" s="242">
        <v>2400</v>
      </c>
      <c r="D26" s="229"/>
      <c r="E26" s="226"/>
      <c r="F26" s="224"/>
      <c r="G26" s="226"/>
      <c r="H26" s="224"/>
      <c r="I26" s="226"/>
      <c r="J26" s="224"/>
      <c r="K26" s="224"/>
      <c r="L26" s="224"/>
      <c r="M26" s="224"/>
      <c r="N26" s="227">
        <f t="shared" si="0"/>
        <v>2400</v>
      </c>
    </row>
    <row r="27" spans="1:14">
      <c r="A27" s="312" t="s">
        <v>205</v>
      </c>
      <c r="B27" s="242"/>
      <c r="C27" s="242"/>
      <c r="D27" s="229">
        <v>1300</v>
      </c>
      <c r="E27" s="224"/>
      <c r="F27" s="224"/>
      <c r="G27" s="226"/>
      <c r="H27" s="224"/>
      <c r="I27" s="226"/>
      <c r="J27" s="224"/>
      <c r="K27" s="224"/>
      <c r="L27" s="224"/>
      <c r="M27" s="224"/>
      <c r="N27" s="227">
        <f t="shared" si="0"/>
        <v>1300</v>
      </c>
    </row>
    <row r="28" spans="1:14">
      <c r="A28" s="241" t="s">
        <v>211</v>
      </c>
      <c r="B28" s="242"/>
      <c r="C28" s="242"/>
      <c r="D28" s="229">
        <v>1352</v>
      </c>
      <c r="E28" s="224"/>
      <c r="F28" s="224"/>
      <c r="G28" s="226"/>
      <c r="H28" s="224"/>
      <c r="I28" s="226"/>
      <c r="J28" s="224"/>
      <c r="K28" s="224"/>
      <c r="L28" s="224"/>
      <c r="M28" s="224"/>
      <c r="N28" s="227">
        <f>SUM(D28:M28)</f>
        <v>1352</v>
      </c>
    </row>
    <row r="29" spans="1:14">
      <c r="A29" s="232" t="s">
        <v>212</v>
      </c>
      <c r="B29" s="229"/>
      <c r="C29" s="229"/>
      <c r="D29" s="229">
        <f>1916+899+1798</f>
        <v>4613</v>
      </c>
      <c r="E29" s="229"/>
      <c r="F29" s="229">
        <v>899</v>
      </c>
      <c r="G29" s="230"/>
      <c r="H29" s="229"/>
      <c r="I29" s="229"/>
      <c r="J29" s="229"/>
      <c r="K29" s="229"/>
      <c r="L29" s="229"/>
      <c r="M29" s="229"/>
      <c r="N29" s="227">
        <f t="shared" ref="N29:N90" si="1">SUM(B29:M29)</f>
        <v>5512</v>
      </c>
    </row>
    <row r="30" spans="1:14">
      <c r="A30" s="223" t="s">
        <v>213</v>
      </c>
      <c r="B30" s="243"/>
      <c r="C30" s="243"/>
      <c r="D30" s="243">
        <v>1500</v>
      </c>
      <c r="E30" s="244"/>
      <c r="F30" s="229"/>
      <c r="G30" s="230"/>
      <c r="H30" s="229"/>
      <c r="I30" s="229"/>
      <c r="J30" s="229"/>
      <c r="K30" s="229"/>
      <c r="L30" s="229"/>
      <c r="M30" s="229"/>
      <c r="N30" s="227">
        <f t="shared" si="1"/>
        <v>1500</v>
      </c>
    </row>
    <row r="31" spans="1:14">
      <c r="A31" s="223" t="s">
        <v>214</v>
      </c>
      <c r="B31" s="243"/>
      <c r="C31" s="243"/>
      <c r="D31" s="243">
        <v>1550</v>
      </c>
      <c r="E31" s="244"/>
      <c r="F31" s="229"/>
      <c r="G31" s="230"/>
      <c r="H31" s="229"/>
      <c r="I31" s="229"/>
      <c r="J31" s="229"/>
      <c r="K31" s="229"/>
      <c r="L31" s="229"/>
      <c r="M31" s="229"/>
      <c r="N31" s="227">
        <f t="shared" si="1"/>
        <v>1550</v>
      </c>
    </row>
    <row r="32" spans="1:14">
      <c r="A32" s="232" t="s">
        <v>221</v>
      </c>
      <c r="B32" s="245"/>
      <c r="C32" s="245"/>
      <c r="D32" s="245">
        <v>400</v>
      </c>
      <c r="E32" s="246"/>
      <c r="F32" s="229"/>
      <c r="G32" s="230"/>
      <c r="H32" s="229"/>
      <c r="I32" s="229"/>
      <c r="J32" s="229"/>
      <c r="K32" s="229"/>
      <c r="L32" s="229"/>
      <c r="M32" s="229"/>
      <c r="N32" s="227">
        <f t="shared" si="1"/>
        <v>400</v>
      </c>
    </row>
    <row r="33" spans="1:14">
      <c r="A33" s="223" t="s">
        <v>225</v>
      </c>
      <c r="B33" s="245"/>
      <c r="C33" s="245"/>
      <c r="D33" s="245">
        <v>310</v>
      </c>
      <c r="E33" s="246"/>
      <c r="F33" s="229"/>
      <c r="G33" s="230"/>
      <c r="H33" s="229"/>
      <c r="I33" s="229"/>
      <c r="J33" s="229"/>
      <c r="K33" s="229"/>
      <c r="L33" s="229"/>
      <c r="M33" s="229"/>
      <c r="N33" s="227">
        <f t="shared" si="1"/>
        <v>310</v>
      </c>
    </row>
    <row r="34" spans="1:14">
      <c r="A34" s="223" t="s">
        <v>226</v>
      </c>
      <c r="B34" s="245"/>
      <c r="C34" s="245"/>
      <c r="D34" s="245">
        <v>2620</v>
      </c>
      <c r="E34" s="246"/>
      <c r="F34" s="229"/>
      <c r="G34" s="230"/>
      <c r="H34" s="229"/>
      <c r="I34" s="229"/>
      <c r="J34" s="229"/>
      <c r="K34" s="229"/>
      <c r="L34" s="229"/>
      <c r="M34" s="229"/>
      <c r="N34" s="227">
        <f t="shared" si="1"/>
        <v>2620</v>
      </c>
    </row>
    <row r="35" spans="1:14">
      <c r="A35" s="223" t="s">
        <v>238</v>
      </c>
      <c r="B35" s="245"/>
      <c r="C35" s="245"/>
      <c r="D35" s="245"/>
      <c r="E35" s="245">
        <v>1499</v>
      </c>
      <c r="F35" s="229"/>
      <c r="G35" s="230"/>
      <c r="H35" s="229"/>
      <c r="I35" s="229"/>
      <c r="J35" s="229"/>
      <c r="K35" s="229"/>
      <c r="L35" s="229"/>
      <c r="M35" s="229"/>
      <c r="N35" s="227">
        <f t="shared" si="1"/>
        <v>1499</v>
      </c>
    </row>
    <row r="36" spans="1:14">
      <c r="A36" s="223" t="s">
        <v>254</v>
      </c>
      <c r="B36" s="245"/>
      <c r="C36" s="245"/>
      <c r="D36" s="245"/>
      <c r="E36" s="245">
        <f>200+275</f>
        <v>475</v>
      </c>
      <c r="F36" s="229"/>
      <c r="G36" s="230"/>
      <c r="H36" s="229"/>
      <c r="I36" s="229"/>
      <c r="J36" s="229"/>
      <c r="K36" s="229"/>
      <c r="L36" s="229"/>
      <c r="M36" s="229"/>
      <c r="N36" s="227">
        <f t="shared" si="1"/>
        <v>475</v>
      </c>
    </row>
    <row r="37" spans="1:14">
      <c r="A37" s="234" t="s">
        <v>255</v>
      </c>
      <c r="B37" s="229"/>
      <c r="C37" s="229"/>
      <c r="D37" s="229"/>
      <c r="E37" s="240">
        <v>900</v>
      </c>
      <c r="F37" s="229"/>
      <c r="G37" s="230"/>
      <c r="H37" s="229"/>
      <c r="I37" s="229"/>
      <c r="J37" s="229"/>
      <c r="K37" s="229"/>
      <c r="L37" s="229"/>
      <c r="M37" s="229"/>
      <c r="N37" s="227">
        <f t="shared" si="1"/>
        <v>900</v>
      </c>
    </row>
    <row r="38" spans="1:14">
      <c r="A38" s="232" t="s">
        <v>267</v>
      </c>
      <c r="B38" s="229"/>
      <c r="C38" s="229"/>
      <c r="D38" s="229"/>
      <c r="E38" s="240"/>
      <c r="F38" s="229">
        <f>695+4074+4074</f>
        <v>8843</v>
      </c>
      <c r="G38" s="230"/>
      <c r="H38" s="229"/>
      <c r="I38" s="229"/>
      <c r="J38" s="229"/>
      <c r="K38" s="229"/>
      <c r="L38" s="229"/>
      <c r="M38" s="229"/>
      <c r="N38" s="227">
        <f t="shared" si="1"/>
        <v>8843</v>
      </c>
    </row>
    <row r="39" spans="1:14">
      <c r="A39" s="232" t="s">
        <v>268</v>
      </c>
      <c r="B39" s="229"/>
      <c r="C39" s="229"/>
      <c r="D39" s="229"/>
      <c r="E39" s="240"/>
      <c r="F39" s="229">
        <v>5557</v>
      </c>
      <c r="G39" s="230"/>
      <c r="H39" s="229"/>
      <c r="I39" s="229"/>
      <c r="J39" s="229">
        <v>1988</v>
      </c>
      <c r="K39" s="229"/>
      <c r="L39" s="229"/>
      <c r="M39" s="229"/>
      <c r="N39" s="227">
        <f t="shared" si="1"/>
        <v>7545</v>
      </c>
    </row>
    <row r="40" spans="1:14">
      <c r="A40" s="234" t="s">
        <v>120</v>
      </c>
      <c r="B40" s="229"/>
      <c r="C40" s="229"/>
      <c r="D40" s="229"/>
      <c r="E40" s="229"/>
      <c r="F40" s="229">
        <v>950</v>
      </c>
      <c r="G40" s="230"/>
      <c r="H40" s="229">
        <f>1170+780</f>
        <v>1950</v>
      </c>
      <c r="I40" s="229"/>
      <c r="J40" s="229"/>
      <c r="K40" s="229"/>
      <c r="L40" s="229"/>
      <c r="M40" s="229"/>
      <c r="N40" s="227">
        <f t="shared" si="1"/>
        <v>2900</v>
      </c>
    </row>
    <row r="41" spans="1:14">
      <c r="A41" s="234" t="s">
        <v>270</v>
      </c>
      <c r="B41" s="229"/>
      <c r="C41" s="229"/>
      <c r="D41" s="229"/>
      <c r="E41" s="224"/>
      <c r="F41" s="224">
        <v>1120</v>
      </c>
      <c r="G41" s="226"/>
      <c r="H41" s="224"/>
      <c r="I41" s="226"/>
      <c r="J41" s="224"/>
      <c r="K41" s="224"/>
      <c r="L41" s="224"/>
      <c r="M41" s="224"/>
      <c r="N41" s="227">
        <f t="shared" si="1"/>
        <v>1120</v>
      </c>
    </row>
    <row r="42" spans="1:14">
      <c r="A42" s="234" t="s">
        <v>274</v>
      </c>
      <c r="B42" s="229"/>
      <c r="C42" s="229"/>
      <c r="D42" s="229"/>
      <c r="E42" s="229"/>
      <c r="F42" s="229"/>
      <c r="G42" s="230">
        <v>22680</v>
      </c>
      <c r="H42" s="229"/>
      <c r="I42" s="229"/>
      <c r="J42" s="229"/>
      <c r="K42" s="229"/>
      <c r="L42" s="229"/>
      <c r="M42" s="229"/>
      <c r="N42" s="227">
        <f t="shared" si="1"/>
        <v>22680</v>
      </c>
    </row>
    <row r="43" spans="1:14">
      <c r="A43" s="232" t="s">
        <v>276</v>
      </c>
      <c r="B43" s="229"/>
      <c r="C43" s="229"/>
      <c r="D43" s="229"/>
      <c r="E43" s="240"/>
      <c r="F43" s="229"/>
      <c r="G43" s="230">
        <f>3500+6910</f>
        <v>10410</v>
      </c>
      <c r="H43" s="229"/>
      <c r="I43" s="229"/>
      <c r="J43" s="229"/>
      <c r="K43" s="229"/>
      <c r="L43" s="229"/>
      <c r="M43" s="229"/>
      <c r="N43" s="227">
        <f t="shared" si="1"/>
        <v>10410</v>
      </c>
    </row>
    <row r="44" spans="1:14">
      <c r="A44" s="232" t="s">
        <v>282</v>
      </c>
      <c r="B44" s="229"/>
      <c r="C44" s="229"/>
      <c r="D44" s="229"/>
      <c r="E44" s="229"/>
      <c r="F44" s="229"/>
      <c r="G44" s="230">
        <v>990</v>
      </c>
      <c r="H44" s="229"/>
      <c r="I44" s="229"/>
      <c r="J44" s="229"/>
      <c r="K44" s="229"/>
      <c r="L44" s="229"/>
      <c r="M44" s="229"/>
      <c r="N44" s="227">
        <f t="shared" si="1"/>
        <v>990</v>
      </c>
    </row>
    <row r="45" spans="1:14">
      <c r="A45" s="232" t="s">
        <v>283</v>
      </c>
      <c r="B45" s="229"/>
      <c r="C45" s="229"/>
      <c r="D45" s="229"/>
      <c r="E45" s="229"/>
      <c r="F45" s="229"/>
      <c r="G45" s="230">
        <v>2235</v>
      </c>
      <c r="H45" s="229"/>
      <c r="I45" s="229"/>
      <c r="J45" s="229"/>
      <c r="K45" s="229"/>
      <c r="L45" s="229"/>
      <c r="M45" s="229"/>
      <c r="N45" s="227">
        <f t="shared" si="1"/>
        <v>2235</v>
      </c>
    </row>
    <row r="46" spans="1:14">
      <c r="A46" s="232" t="s">
        <v>284</v>
      </c>
      <c r="B46" s="229"/>
      <c r="C46" s="229"/>
      <c r="D46" s="229"/>
      <c r="E46" s="229"/>
      <c r="F46" s="229"/>
      <c r="G46" s="230">
        <v>540</v>
      </c>
      <c r="H46" s="229"/>
      <c r="I46" s="229"/>
      <c r="J46" s="229"/>
      <c r="K46" s="229"/>
      <c r="L46" s="229"/>
      <c r="M46" s="229"/>
      <c r="N46" s="227">
        <f t="shared" si="1"/>
        <v>540</v>
      </c>
    </row>
    <row r="47" spans="1:14">
      <c r="A47" s="232" t="s">
        <v>285</v>
      </c>
      <c r="B47" s="229"/>
      <c r="C47" s="229"/>
      <c r="D47" s="229"/>
      <c r="E47" s="229"/>
      <c r="F47" s="229"/>
      <c r="G47" s="230">
        <v>1340</v>
      </c>
      <c r="H47" s="229"/>
      <c r="I47" s="229"/>
      <c r="J47" s="229"/>
      <c r="K47" s="229"/>
      <c r="L47" s="229"/>
      <c r="M47" s="229"/>
      <c r="N47" s="227">
        <f t="shared" si="1"/>
        <v>1340</v>
      </c>
    </row>
    <row r="48" spans="1:14">
      <c r="A48" s="232" t="s">
        <v>290</v>
      </c>
      <c r="B48" s="229"/>
      <c r="C48" s="229"/>
      <c r="D48" s="229"/>
      <c r="E48" s="229"/>
      <c r="F48" s="229"/>
      <c r="G48" s="230">
        <v>259</v>
      </c>
      <c r="H48" s="229"/>
      <c r="I48" s="229"/>
      <c r="J48" s="229"/>
      <c r="K48" s="229"/>
      <c r="L48" s="229"/>
      <c r="M48" s="229"/>
      <c r="N48" s="227">
        <f t="shared" si="1"/>
        <v>259</v>
      </c>
    </row>
    <row r="49" spans="1:14">
      <c r="A49" s="232" t="s">
        <v>293</v>
      </c>
      <c r="B49" s="229"/>
      <c r="C49" s="229"/>
      <c r="D49" s="229"/>
      <c r="E49" s="240"/>
      <c r="F49" s="229"/>
      <c r="G49" s="230">
        <v>937</v>
      </c>
      <c r="H49" s="229"/>
      <c r="I49" s="229"/>
      <c r="J49" s="229"/>
      <c r="K49" s="229"/>
      <c r="L49" s="229"/>
      <c r="M49" s="229"/>
      <c r="N49" s="227">
        <f t="shared" si="1"/>
        <v>937</v>
      </c>
    </row>
    <row r="50" spans="1:14">
      <c r="A50" s="232" t="s">
        <v>294</v>
      </c>
      <c r="B50" s="229"/>
      <c r="C50" s="229"/>
      <c r="D50" s="229"/>
      <c r="E50" s="240"/>
      <c r="F50" s="229"/>
      <c r="G50" s="230">
        <v>450</v>
      </c>
      <c r="H50" s="229"/>
      <c r="I50" s="229"/>
      <c r="J50" s="229"/>
      <c r="K50" s="229"/>
      <c r="L50" s="229"/>
      <c r="M50" s="229"/>
      <c r="N50" s="227">
        <f t="shared" si="1"/>
        <v>450</v>
      </c>
    </row>
    <row r="51" spans="1:14">
      <c r="A51" s="234" t="s">
        <v>295</v>
      </c>
      <c r="B51" s="229"/>
      <c r="C51" s="229"/>
      <c r="D51" s="229"/>
      <c r="E51" s="229"/>
      <c r="F51" s="229"/>
      <c r="G51" s="230">
        <v>1400</v>
      </c>
      <c r="H51" s="229"/>
      <c r="I51" s="229"/>
      <c r="J51" s="229"/>
      <c r="K51" s="229"/>
      <c r="L51" s="229"/>
      <c r="M51" s="229"/>
      <c r="N51" s="227">
        <f t="shared" si="1"/>
        <v>1400</v>
      </c>
    </row>
    <row r="52" spans="1:14">
      <c r="A52" s="232" t="s">
        <v>308</v>
      </c>
      <c r="B52" s="229"/>
      <c r="C52" s="229"/>
      <c r="D52" s="229"/>
      <c r="E52" s="240"/>
      <c r="F52" s="229"/>
      <c r="G52" s="230"/>
      <c r="H52" s="229">
        <v>7643</v>
      </c>
      <c r="I52" s="229"/>
      <c r="J52" s="229"/>
      <c r="K52" s="229"/>
      <c r="L52" s="229"/>
      <c r="M52" s="229"/>
      <c r="N52" s="227">
        <f t="shared" si="1"/>
        <v>7643</v>
      </c>
    </row>
    <row r="53" spans="1:14">
      <c r="A53" s="232" t="s">
        <v>309</v>
      </c>
      <c r="B53" s="229"/>
      <c r="C53" s="229"/>
      <c r="D53" s="229"/>
      <c r="E53" s="240"/>
      <c r="F53" s="229"/>
      <c r="G53" s="230"/>
      <c r="H53" s="229">
        <f>8223-624</f>
        <v>7599</v>
      </c>
      <c r="I53" s="229"/>
      <c r="J53" s="229"/>
      <c r="K53" s="229"/>
      <c r="L53" s="229"/>
      <c r="M53" s="229"/>
      <c r="N53" s="227">
        <f t="shared" si="1"/>
        <v>7599</v>
      </c>
    </row>
    <row r="54" spans="1:14">
      <c r="A54" s="232" t="s">
        <v>318</v>
      </c>
      <c r="B54" s="229"/>
      <c r="C54" s="229"/>
      <c r="D54" s="229"/>
      <c r="E54" s="229"/>
      <c r="F54" s="229"/>
      <c r="G54" s="230"/>
      <c r="H54" s="229"/>
      <c r="I54" s="229">
        <v>11000</v>
      </c>
      <c r="J54" s="229"/>
      <c r="K54" s="229"/>
      <c r="L54" s="229"/>
      <c r="M54" s="229"/>
      <c r="N54" s="227">
        <f t="shared" si="1"/>
        <v>11000</v>
      </c>
    </row>
    <row r="55" spans="1:14" ht="26.25">
      <c r="A55" s="232" t="s">
        <v>326</v>
      </c>
      <c r="B55" s="229"/>
      <c r="C55" s="229"/>
      <c r="D55" s="229"/>
      <c r="E55" s="229"/>
      <c r="F55" s="229"/>
      <c r="G55" s="230"/>
      <c r="H55" s="229"/>
      <c r="I55" s="229">
        <v>21077</v>
      </c>
      <c r="J55" s="229"/>
      <c r="K55" s="229"/>
      <c r="L55" s="229"/>
      <c r="M55" s="229"/>
      <c r="N55" s="227">
        <f t="shared" si="1"/>
        <v>21077</v>
      </c>
    </row>
    <row r="56" spans="1:14">
      <c r="A56" s="232" t="s">
        <v>327</v>
      </c>
      <c r="B56" s="229"/>
      <c r="C56" s="229"/>
      <c r="D56" s="229"/>
      <c r="E56" s="229"/>
      <c r="F56" s="229"/>
      <c r="G56" s="230"/>
      <c r="H56" s="229"/>
      <c r="I56" s="229">
        <v>2239</v>
      </c>
      <c r="J56" s="229"/>
      <c r="K56" s="229"/>
      <c r="L56" s="229"/>
      <c r="M56" s="229"/>
      <c r="N56" s="227">
        <f t="shared" si="1"/>
        <v>2239</v>
      </c>
    </row>
    <row r="57" spans="1:14">
      <c r="A57" s="232" t="s">
        <v>328</v>
      </c>
      <c r="B57" s="229"/>
      <c r="C57" s="229"/>
      <c r="D57" s="229"/>
      <c r="E57" s="229"/>
      <c r="F57" s="229"/>
      <c r="G57" s="230"/>
      <c r="H57" s="229"/>
      <c r="I57" s="229">
        <v>752</v>
      </c>
      <c r="J57" s="229"/>
      <c r="K57" s="229"/>
      <c r="L57" s="229"/>
      <c r="M57" s="229"/>
      <c r="N57" s="227">
        <f t="shared" si="1"/>
        <v>752</v>
      </c>
    </row>
    <row r="58" spans="1:14">
      <c r="A58" s="232" t="s">
        <v>329</v>
      </c>
      <c r="B58" s="229"/>
      <c r="C58" s="229"/>
      <c r="D58" s="229"/>
      <c r="E58" s="229"/>
      <c r="F58" s="229"/>
      <c r="G58" s="230"/>
      <c r="H58" s="229"/>
      <c r="I58" s="229">
        <v>450</v>
      </c>
      <c r="J58" s="229"/>
      <c r="K58" s="229"/>
      <c r="L58" s="229"/>
      <c r="M58" s="229"/>
      <c r="N58" s="227">
        <f t="shared" si="1"/>
        <v>450</v>
      </c>
    </row>
    <row r="59" spans="1:14">
      <c r="A59" s="232" t="s">
        <v>330</v>
      </c>
      <c r="B59" s="229"/>
      <c r="C59" s="229"/>
      <c r="D59" s="229"/>
      <c r="E59" s="229"/>
      <c r="F59" s="229"/>
      <c r="G59" s="230"/>
      <c r="H59" s="229"/>
      <c r="I59" s="229">
        <v>9028</v>
      </c>
      <c r="J59" s="229"/>
      <c r="K59" s="229"/>
      <c r="L59" s="229"/>
      <c r="M59" s="229"/>
      <c r="N59" s="227">
        <f t="shared" si="1"/>
        <v>9028</v>
      </c>
    </row>
    <row r="60" spans="1:14">
      <c r="A60" s="232" t="s">
        <v>342</v>
      </c>
      <c r="B60" s="229"/>
      <c r="C60" s="229"/>
      <c r="D60" s="229"/>
      <c r="E60" s="229"/>
      <c r="F60" s="229"/>
      <c r="G60" s="230"/>
      <c r="H60" s="229"/>
      <c r="I60" s="229">
        <v>880</v>
      </c>
      <c r="J60" s="229"/>
      <c r="K60" s="229"/>
      <c r="L60" s="229"/>
      <c r="M60" s="229"/>
      <c r="N60" s="227">
        <f t="shared" si="1"/>
        <v>880</v>
      </c>
    </row>
    <row r="61" spans="1:14">
      <c r="A61" s="232" t="s">
        <v>343</v>
      </c>
      <c r="B61" s="229"/>
      <c r="C61" s="229"/>
      <c r="D61" s="229"/>
      <c r="E61" s="240"/>
      <c r="F61" s="229"/>
      <c r="G61" s="230"/>
      <c r="H61" s="229"/>
      <c r="I61" s="229">
        <v>250</v>
      </c>
      <c r="J61" s="229"/>
      <c r="K61" s="229"/>
      <c r="L61" s="229"/>
      <c r="M61" s="229"/>
      <c r="N61" s="227">
        <f t="shared" si="1"/>
        <v>250</v>
      </c>
    </row>
    <row r="62" spans="1:14">
      <c r="A62" s="232" t="s">
        <v>344</v>
      </c>
      <c r="B62" s="229"/>
      <c r="C62" s="229"/>
      <c r="D62" s="229"/>
      <c r="E62" s="240"/>
      <c r="F62" s="229"/>
      <c r="G62" s="230"/>
      <c r="H62" s="229"/>
      <c r="I62" s="229">
        <v>650</v>
      </c>
      <c r="J62" s="229"/>
      <c r="K62" s="229"/>
      <c r="L62" s="229"/>
      <c r="M62" s="229"/>
      <c r="N62" s="227">
        <f t="shared" si="1"/>
        <v>650</v>
      </c>
    </row>
    <row r="63" spans="1:14">
      <c r="A63" s="232" t="s">
        <v>345</v>
      </c>
      <c r="B63" s="229"/>
      <c r="C63" s="229"/>
      <c r="D63" s="229"/>
      <c r="E63" s="240"/>
      <c r="F63" s="229"/>
      <c r="G63" s="230"/>
      <c r="H63" s="229"/>
      <c r="I63" s="229">
        <v>420</v>
      </c>
      <c r="J63" s="229"/>
      <c r="K63" s="229"/>
      <c r="L63" s="229"/>
      <c r="M63" s="229"/>
      <c r="N63" s="227">
        <f t="shared" si="1"/>
        <v>420</v>
      </c>
    </row>
    <row r="64" spans="1:14">
      <c r="A64" s="232" t="s">
        <v>346</v>
      </c>
      <c r="B64" s="229"/>
      <c r="C64" s="229"/>
      <c r="D64" s="229"/>
      <c r="E64" s="240"/>
      <c r="F64" s="229"/>
      <c r="G64" s="230"/>
      <c r="H64" s="229"/>
      <c r="I64" s="229">
        <v>100</v>
      </c>
      <c r="J64" s="229"/>
      <c r="K64" s="229"/>
      <c r="L64" s="229"/>
      <c r="M64" s="229"/>
      <c r="N64" s="227">
        <f t="shared" si="1"/>
        <v>100</v>
      </c>
    </row>
    <row r="65" spans="1:14">
      <c r="A65" s="232" t="s">
        <v>347</v>
      </c>
      <c r="B65" s="229"/>
      <c r="C65" s="229"/>
      <c r="D65" s="229"/>
      <c r="E65" s="240"/>
      <c r="F65" s="229"/>
      <c r="G65" s="230"/>
      <c r="H65" s="229"/>
      <c r="I65" s="229">
        <v>670</v>
      </c>
      <c r="J65" s="229"/>
      <c r="K65" s="229"/>
      <c r="L65" s="229"/>
      <c r="M65" s="229"/>
      <c r="N65" s="227">
        <f t="shared" si="1"/>
        <v>670</v>
      </c>
    </row>
    <row r="66" spans="1:14">
      <c r="A66" s="232" t="s">
        <v>348</v>
      </c>
      <c r="B66" s="229"/>
      <c r="C66" s="229"/>
      <c r="D66" s="229"/>
      <c r="E66" s="240"/>
      <c r="F66" s="229"/>
      <c r="G66" s="230"/>
      <c r="H66" s="229"/>
      <c r="I66" s="229">
        <v>560</v>
      </c>
      <c r="J66" s="229"/>
      <c r="K66" s="229"/>
      <c r="L66" s="229"/>
      <c r="M66" s="229"/>
      <c r="N66" s="227">
        <f t="shared" si="1"/>
        <v>560</v>
      </c>
    </row>
    <row r="67" spans="1:14">
      <c r="A67" s="232" t="s">
        <v>349</v>
      </c>
      <c r="B67" s="229"/>
      <c r="C67" s="229"/>
      <c r="D67" s="229"/>
      <c r="E67" s="240"/>
      <c r="F67" s="229"/>
      <c r="G67" s="230"/>
      <c r="H67" s="229"/>
      <c r="I67" s="229">
        <v>1000</v>
      </c>
      <c r="J67" s="229"/>
      <c r="K67" s="229"/>
      <c r="L67" s="229"/>
      <c r="M67" s="229"/>
      <c r="N67" s="227">
        <f t="shared" si="1"/>
        <v>1000</v>
      </c>
    </row>
    <row r="68" spans="1:14">
      <c r="A68" s="232" t="s">
        <v>353</v>
      </c>
      <c r="B68" s="229"/>
      <c r="C68" s="229"/>
      <c r="D68" s="229"/>
      <c r="E68" s="240"/>
      <c r="F68" s="229"/>
      <c r="G68" s="230"/>
      <c r="H68" s="229"/>
      <c r="I68" s="229"/>
      <c r="J68" s="229">
        <v>731</v>
      </c>
      <c r="K68" s="229"/>
      <c r="L68" s="229"/>
      <c r="M68" s="229"/>
      <c r="N68" s="227">
        <f t="shared" si="1"/>
        <v>731</v>
      </c>
    </row>
    <row r="69" spans="1:14">
      <c r="A69" s="232" t="s">
        <v>355</v>
      </c>
      <c r="B69" s="229"/>
      <c r="C69" s="229"/>
      <c r="D69" s="229"/>
      <c r="E69" s="240"/>
      <c r="F69" s="229"/>
      <c r="G69" s="230"/>
      <c r="H69" s="229"/>
      <c r="I69" s="229"/>
      <c r="J69" s="229">
        <v>1200</v>
      </c>
      <c r="K69" s="229"/>
      <c r="L69" s="229"/>
      <c r="M69" s="229"/>
      <c r="N69" s="227">
        <f t="shared" si="1"/>
        <v>1200</v>
      </c>
    </row>
    <row r="70" spans="1:14">
      <c r="A70" s="232" t="s">
        <v>356</v>
      </c>
      <c r="B70" s="229"/>
      <c r="C70" s="229"/>
      <c r="D70" s="229"/>
      <c r="E70" s="240"/>
      <c r="F70" s="229"/>
      <c r="G70" s="230"/>
      <c r="H70" s="229"/>
      <c r="I70" s="229"/>
      <c r="J70" s="229">
        <v>550</v>
      </c>
      <c r="K70" s="229"/>
      <c r="L70" s="229"/>
      <c r="M70" s="229"/>
      <c r="N70" s="227">
        <f t="shared" si="1"/>
        <v>550</v>
      </c>
    </row>
    <row r="71" spans="1:14">
      <c r="A71" s="232" t="s">
        <v>357</v>
      </c>
      <c r="B71" s="229"/>
      <c r="C71" s="229"/>
      <c r="D71" s="229"/>
      <c r="E71" s="240"/>
      <c r="F71" s="229"/>
      <c r="G71" s="230"/>
      <c r="H71" s="229"/>
      <c r="I71" s="229"/>
      <c r="J71" s="229">
        <v>10718</v>
      </c>
      <c r="K71" s="229"/>
      <c r="L71" s="229"/>
      <c r="M71" s="229"/>
      <c r="N71" s="227">
        <f t="shared" si="1"/>
        <v>10718</v>
      </c>
    </row>
    <row r="72" spans="1:14">
      <c r="A72" s="232" t="s">
        <v>358</v>
      </c>
      <c r="B72" s="229"/>
      <c r="C72" s="229"/>
      <c r="D72" s="229"/>
      <c r="E72" s="240"/>
      <c r="F72" s="229"/>
      <c r="G72" s="230"/>
      <c r="H72" s="229"/>
      <c r="I72" s="229"/>
      <c r="J72" s="229">
        <v>1200</v>
      </c>
      <c r="K72" s="229"/>
      <c r="L72" s="229"/>
      <c r="M72" s="229"/>
      <c r="N72" s="227">
        <f t="shared" si="1"/>
        <v>1200</v>
      </c>
    </row>
    <row r="73" spans="1:14">
      <c r="A73" s="232" t="s">
        <v>359</v>
      </c>
      <c r="B73" s="229"/>
      <c r="C73" s="229"/>
      <c r="D73" s="229"/>
      <c r="E73" s="240"/>
      <c r="F73" s="229"/>
      <c r="G73" s="230"/>
      <c r="H73" s="229"/>
      <c r="I73" s="229"/>
      <c r="J73" s="229">
        <v>140</v>
      </c>
      <c r="K73" s="229"/>
      <c r="L73" s="229"/>
      <c r="M73" s="229"/>
      <c r="N73" s="227">
        <f t="shared" si="1"/>
        <v>140</v>
      </c>
    </row>
    <row r="74" spans="1:14">
      <c r="A74" s="232" t="s">
        <v>362</v>
      </c>
      <c r="B74" s="229"/>
      <c r="C74" s="229"/>
      <c r="D74" s="229"/>
      <c r="E74" s="240"/>
      <c r="F74" s="229"/>
      <c r="G74" s="230"/>
      <c r="H74" s="229"/>
      <c r="I74" s="229"/>
      <c r="J74" s="229"/>
      <c r="K74" s="229">
        <v>6545.53</v>
      </c>
      <c r="L74" s="229"/>
      <c r="M74" s="229"/>
      <c r="N74" s="227">
        <f t="shared" si="1"/>
        <v>6545.53</v>
      </c>
    </row>
    <row r="75" spans="1:14">
      <c r="A75" s="232" t="s">
        <v>367</v>
      </c>
      <c r="B75" s="229"/>
      <c r="C75" s="229"/>
      <c r="D75" s="229"/>
      <c r="E75" s="229"/>
      <c r="F75" s="229"/>
      <c r="G75" s="230"/>
      <c r="H75" s="229"/>
      <c r="I75" s="229"/>
      <c r="J75" s="229"/>
      <c r="K75" s="229">
        <f>815+554</f>
        <v>1369</v>
      </c>
      <c r="L75" s="229"/>
      <c r="M75" s="229"/>
      <c r="N75" s="227">
        <f t="shared" si="1"/>
        <v>1369</v>
      </c>
    </row>
    <row r="76" spans="1:14">
      <c r="A76" s="232" t="s">
        <v>368</v>
      </c>
      <c r="B76" s="224"/>
      <c r="C76" s="224"/>
      <c r="D76" s="224"/>
      <c r="E76" s="227"/>
      <c r="F76" s="224"/>
      <c r="G76" s="224"/>
      <c r="H76" s="224"/>
      <c r="I76" s="224"/>
      <c r="J76" s="224"/>
      <c r="K76" s="224">
        <v>1334</v>
      </c>
      <c r="L76" s="224"/>
      <c r="M76" s="224"/>
      <c r="N76" s="227">
        <f t="shared" si="1"/>
        <v>1334</v>
      </c>
    </row>
    <row r="77" spans="1:14">
      <c r="A77" s="232" t="s">
        <v>370</v>
      </c>
      <c r="B77" s="224"/>
      <c r="C77" s="224"/>
      <c r="D77" s="224"/>
      <c r="E77" s="227"/>
      <c r="F77" s="224"/>
      <c r="G77" s="224"/>
      <c r="H77" s="224"/>
      <c r="I77" s="224"/>
      <c r="J77" s="224"/>
      <c r="K77" s="224">
        <v>310</v>
      </c>
      <c r="L77" s="224"/>
      <c r="M77" s="224"/>
      <c r="N77" s="227">
        <f t="shared" si="1"/>
        <v>310</v>
      </c>
    </row>
    <row r="78" spans="1:14">
      <c r="A78" s="232" t="s">
        <v>372</v>
      </c>
      <c r="B78" s="224"/>
      <c r="C78" s="224"/>
      <c r="D78" s="224"/>
      <c r="E78" s="227"/>
      <c r="F78" s="224"/>
      <c r="G78" s="224"/>
      <c r="H78" s="224"/>
      <c r="I78" s="224"/>
      <c r="J78" s="224"/>
      <c r="K78" s="224">
        <f>1600+14950</f>
        <v>16550</v>
      </c>
      <c r="L78" s="224"/>
      <c r="M78" s="224"/>
      <c r="N78" s="227">
        <f t="shared" si="1"/>
        <v>16550</v>
      </c>
    </row>
    <row r="79" spans="1:14">
      <c r="A79" s="232"/>
      <c r="B79" s="224"/>
      <c r="C79" s="224"/>
      <c r="D79" s="224"/>
      <c r="E79" s="227"/>
      <c r="F79" s="224"/>
      <c r="G79" s="224"/>
      <c r="H79" s="224"/>
      <c r="I79" s="224"/>
      <c r="J79" s="224"/>
      <c r="K79" s="224"/>
      <c r="L79" s="224"/>
      <c r="M79" s="224"/>
      <c r="N79" s="227">
        <f t="shared" si="1"/>
        <v>0</v>
      </c>
    </row>
    <row r="80" spans="1:14">
      <c r="A80" s="232"/>
      <c r="B80" s="224"/>
      <c r="C80" s="224"/>
      <c r="D80" s="224"/>
      <c r="E80" s="227"/>
      <c r="F80" s="224"/>
      <c r="G80" s="224"/>
      <c r="H80" s="224"/>
      <c r="I80" s="224"/>
      <c r="J80" s="224"/>
      <c r="K80" s="224"/>
      <c r="L80" s="224"/>
      <c r="M80" s="224"/>
      <c r="N80" s="227">
        <f t="shared" si="1"/>
        <v>0</v>
      </c>
    </row>
    <row r="81" spans="1:14">
      <c r="A81" s="232"/>
      <c r="B81" s="224"/>
      <c r="C81" s="224"/>
      <c r="D81" s="224"/>
      <c r="E81" s="227"/>
      <c r="F81" s="224"/>
      <c r="G81" s="224"/>
      <c r="H81" s="224"/>
      <c r="I81" s="224"/>
      <c r="J81" s="224"/>
      <c r="K81" s="224"/>
      <c r="L81" s="224"/>
      <c r="M81" s="224"/>
      <c r="N81" s="227">
        <f t="shared" si="1"/>
        <v>0</v>
      </c>
    </row>
    <row r="82" spans="1:14">
      <c r="A82" s="232"/>
      <c r="B82" s="224"/>
      <c r="C82" s="224"/>
      <c r="D82" s="224"/>
      <c r="E82" s="227"/>
      <c r="F82" s="224"/>
      <c r="G82" s="224"/>
      <c r="H82" s="224"/>
      <c r="I82" s="224"/>
      <c r="J82" s="224"/>
      <c r="K82" s="224"/>
      <c r="L82" s="224"/>
      <c r="M82" s="224"/>
      <c r="N82" s="227">
        <f t="shared" si="1"/>
        <v>0</v>
      </c>
    </row>
    <row r="83" spans="1:14">
      <c r="A83" s="232"/>
      <c r="B83" s="224"/>
      <c r="C83" s="224"/>
      <c r="D83" s="224"/>
      <c r="E83" s="227"/>
      <c r="F83" s="224"/>
      <c r="G83" s="224"/>
      <c r="H83" s="224"/>
      <c r="I83" s="224"/>
      <c r="J83" s="224"/>
      <c r="K83" s="224"/>
      <c r="L83" s="224"/>
      <c r="M83" s="224"/>
      <c r="N83" s="227">
        <f t="shared" si="1"/>
        <v>0</v>
      </c>
    </row>
    <row r="84" spans="1:14">
      <c r="A84" s="232"/>
      <c r="B84" s="224"/>
      <c r="C84" s="224"/>
      <c r="D84" s="224"/>
      <c r="E84" s="227"/>
      <c r="F84" s="224"/>
      <c r="G84" s="224"/>
      <c r="H84" s="224"/>
      <c r="I84" s="224"/>
      <c r="J84" s="224"/>
      <c r="K84" s="224"/>
      <c r="L84" s="224"/>
      <c r="M84" s="224"/>
      <c r="N84" s="227">
        <f t="shared" si="1"/>
        <v>0</v>
      </c>
    </row>
    <row r="85" spans="1:14">
      <c r="A85" s="232"/>
      <c r="B85" s="224"/>
      <c r="C85" s="224"/>
      <c r="D85" s="224"/>
      <c r="E85" s="227"/>
      <c r="F85" s="224"/>
      <c r="G85" s="224"/>
      <c r="H85" s="224"/>
      <c r="I85" s="224"/>
      <c r="J85" s="224"/>
      <c r="K85" s="224"/>
      <c r="L85" s="224"/>
      <c r="M85" s="224"/>
      <c r="N85" s="227">
        <f t="shared" si="1"/>
        <v>0</v>
      </c>
    </row>
    <row r="86" spans="1:14">
      <c r="A86" s="232"/>
      <c r="B86" s="224"/>
      <c r="C86" s="224"/>
      <c r="D86" s="224"/>
      <c r="E86" s="227"/>
      <c r="F86" s="224"/>
      <c r="G86" s="224"/>
      <c r="H86" s="224"/>
      <c r="I86" s="224"/>
      <c r="J86" s="224"/>
      <c r="K86" s="224"/>
      <c r="L86" s="224"/>
      <c r="M86" s="224"/>
      <c r="N86" s="227">
        <f t="shared" si="1"/>
        <v>0</v>
      </c>
    </row>
    <row r="87" spans="1:14">
      <c r="A87" s="232"/>
      <c r="B87" s="224"/>
      <c r="C87" s="224"/>
      <c r="D87" s="224"/>
      <c r="E87" s="227"/>
      <c r="F87" s="224"/>
      <c r="G87" s="224"/>
      <c r="H87" s="224"/>
      <c r="I87" s="224"/>
      <c r="J87" s="224"/>
      <c r="K87" s="224"/>
      <c r="L87" s="224"/>
      <c r="M87" s="224"/>
      <c r="N87" s="227">
        <f t="shared" si="1"/>
        <v>0</v>
      </c>
    </row>
    <row r="88" spans="1:14">
      <c r="A88" s="232"/>
      <c r="B88" s="224"/>
      <c r="C88" s="224"/>
      <c r="D88" s="224"/>
      <c r="E88" s="227"/>
      <c r="F88" s="224"/>
      <c r="G88" s="224"/>
      <c r="H88" s="224"/>
      <c r="I88" s="224"/>
      <c r="J88" s="224"/>
      <c r="K88" s="224"/>
      <c r="L88" s="224"/>
      <c r="M88" s="224"/>
      <c r="N88" s="227">
        <f t="shared" si="1"/>
        <v>0</v>
      </c>
    </row>
    <row r="89" spans="1:14">
      <c r="A89" s="232"/>
      <c r="B89" s="224"/>
      <c r="C89" s="224"/>
      <c r="D89" s="224"/>
      <c r="E89" s="227"/>
      <c r="F89" s="224"/>
      <c r="G89" s="224"/>
      <c r="H89" s="224"/>
      <c r="I89" s="224"/>
      <c r="J89" s="224"/>
      <c r="K89" s="224"/>
      <c r="L89" s="224"/>
      <c r="M89" s="224"/>
      <c r="N89" s="227">
        <f t="shared" si="1"/>
        <v>0</v>
      </c>
    </row>
    <row r="90" spans="1:14">
      <c r="A90" s="241"/>
      <c r="B90" s="242"/>
      <c r="C90" s="242"/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227">
        <f t="shared" si="1"/>
        <v>0</v>
      </c>
    </row>
    <row r="91" spans="1:14">
      <c r="A91" s="214" t="s">
        <v>104</v>
      </c>
      <c r="B91" s="247">
        <f t="shared" ref="B91:N91" si="2">SUM(B1:B90)</f>
        <v>83137.290000000008</v>
      </c>
      <c r="C91" s="247">
        <f t="shared" si="2"/>
        <v>139851.13</v>
      </c>
      <c r="D91" s="247">
        <f t="shared" si="2"/>
        <v>53455.189999999995</v>
      </c>
      <c r="E91" s="247">
        <f t="shared" si="2"/>
        <v>31300.560000000001</v>
      </c>
      <c r="F91" s="247">
        <f t="shared" si="2"/>
        <v>122655.28</v>
      </c>
      <c r="G91" s="247">
        <f t="shared" si="2"/>
        <v>74270.38</v>
      </c>
      <c r="H91" s="247">
        <f t="shared" si="2"/>
        <v>51832.02</v>
      </c>
      <c r="I91" s="247">
        <f t="shared" si="2"/>
        <v>88195.28</v>
      </c>
      <c r="J91" s="247">
        <f t="shared" si="2"/>
        <v>44928.539999999994</v>
      </c>
      <c r="K91" s="247">
        <f t="shared" si="2"/>
        <v>57315.130000000005</v>
      </c>
      <c r="L91" s="247">
        <f t="shared" si="2"/>
        <v>0</v>
      </c>
      <c r="M91" s="247">
        <f t="shared" si="2"/>
        <v>0</v>
      </c>
      <c r="N91" s="248">
        <f t="shared" si="2"/>
        <v>746940.8</v>
      </c>
    </row>
    <row r="92" spans="1:14">
      <c r="N92" s="96">
        <f>SUM(B91:M91)-N91</f>
        <v>0</v>
      </c>
    </row>
  </sheetData>
  <phoneticPr fontId="22" type="noConversion"/>
  <pageMargins left="0.7" right="0.7" top="0.75" bottom="0.75" header="0.3" footer="0.3"/>
  <pageSetup paperSize="9" scale="57" firstPageNumber="429496729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N12"/>
  <sheetViews>
    <sheetView workbookViewId="0">
      <selection activeCell="K6" sqref="K6"/>
    </sheetView>
  </sheetViews>
  <sheetFormatPr defaultRowHeight="15"/>
  <cols>
    <col min="1" max="1" width="29.85546875" bestFit="1" customWidth="1"/>
    <col min="2" max="2" width="9.140625" style="1"/>
    <col min="3" max="3" width="7.85546875" style="1" customWidth="1"/>
    <col min="4" max="4" width="7.7109375" style="1" customWidth="1"/>
    <col min="5" max="5" width="9.140625" style="1"/>
    <col min="6" max="6" width="9.5703125" style="1" customWidth="1"/>
    <col min="7" max="7" width="8.140625" style="1" customWidth="1"/>
    <col min="8" max="8" width="8.28515625" style="1" customWidth="1"/>
    <col min="9" max="9" width="8.140625" style="1" customWidth="1"/>
    <col min="10" max="10" width="8.28515625" style="1" customWidth="1"/>
    <col min="11" max="11" width="8.42578125" style="1" customWidth="1"/>
    <col min="12" max="14" width="9.140625" style="1"/>
  </cols>
  <sheetData>
    <row r="1" spans="1:14">
      <c r="A1" s="249" t="s">
        <v>29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5"/>
      <c r="I1" s="215"/>
      <c r="J1" s="215"/>
      <c r="K1" s="215"/>
      <c r="L1" s="215"/>
      <c r="M1" s="215"/>
      <c r="N1" s="22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>
      <c r="A3" s="245" t="s">
        <v>122</v>
      </c>
      <c r="B3" s="229">
        <v>7470.34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4">
        <f t="shared" ref="N3:N8" si="0">SUM(B3:M3)</f>
        <v>7470.34</v>
      </c>
    </row>
    <row r="4" spans="1:14">
      <c r="A4" s="245" t="s">
        <v>123</v>
      </c>
      <c r="B4" s="229"/>
      <c r="C4" s="229"/>
      <c r="D4" s="229"/>
      <c r="E4" s="229"/>
      <c r="F4" s="229"/>
      <c r="G4" s="229">
        <v>4053</v>
      </c>
      <c r="H4" s="229"/>
      <c r="I4" s="229"/>
      <c r="J4" s="229"/>
      <c r="K4" s="229"/>
      <c r="L4" s="229"/>
      <c r="M4" s="229"/>
      <c r="N4" s="224">
        <f t="shared" si="0"/>
        <v>4053</v>
      </c>
    </row>
    <row r="5" spans="1:14">
      <c r="A5" s="251" t="s">
        <v>124</v>
      </c>
      <c r="B5" s="229"/>
      <c r="C5" s="229"/>
      <c r="D5" s="229"/>
      <c r="E5" s="229">
        <v>10400</v>
      </c>
      <c r="F5" s="229"/>
      <c r="G5" s="229"/>
      <c r="H5" s="229"/>
      <c r="I5" s="229"/>
      <c r="J5" s="229"/>
      <c r="K5" s="229">
        <v>3000</v>
      </c>
      <c r="L5" s="229"/>
      <c r="M5" s="229"/>
      <c r="N5" s="224">
        <f t="shared" si="0"/>
        <v>13400</v>
      </c>
    </row>
    <row r="6" spans="1:14">
      <c r="A6" s="245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4">
        <f t="shared" si="0"/>
        <v>0</v>
      </c>
    </row>
    <row r="7" spans="1:14">
      <c r="A7" s="245"/>
      <c r="B7" s="229"/>
      <c r="C7" s="229"/>
      <c r="D7" s="229"/>
      <c r="E7" s="229"/>
      <c r="F7" s="229"/>
      <c r="G7" s="229"/>
      <c r="H7" s="229"/>
      <c r="I7" s="229"/>
      <c r="J7" s="229"/>
      <c r="K7" s="252"/>
      <c r="L7" s="229"/>
      <c r="M7" s="229"/>
      <c r="N7" s="224">
        <f t="shared" si="0"/>
        <v>0</v>
      </c>
    </row>
    <row r="8" spans="1:14">
      <c r="A8" s="193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24">
        <f t="shared" si="0"/>
        <v>0</v>
      </c>
    </row>
    <row r="10" spans="1:14">
      <c r="A10" s="253" t="s">
        <v>104</v>
      </c>
      <c r="B10" s="254">
        <f t="shared" ref="B10:N10" si="1">SUM(B3:B8)</f>
        <v>7470.34</v>
      </c>
      <c r="C10" s="254">
        <f t="shared" si="1"/>
        <v>0</v>
      </c>
      <c r="D10" s="254">
        <f t="shared" si="1"/>
        <v>0</v>
      </c>
      <c r="E10" s="254">
        <f t="shared" si="1"/>
        <v>10400</v>
      </c>
      <c r="F10" s="254">
        <f t="shared" si="1"/>
        <v>0</v>
      </c>
      <c r="G10" s="254">
        <f t="shared" si="1"/>
        <v>4053</v>
      </c>
      <c r="H10" s="254">
        <f t="shared" si="1"/>
        <v>0</v>
      </c>
      <c r="I10" s="254">
        <f t="shared" si="1"/>
        <v>0</v>
      </c>
      <c r="J10" s="254">
        <f t="shared" si="1"/>
        <v>0</v>
      </c>
      <c r="K10" s="254">
        <f t="shared" si="1"/>
        <v>3000</v>
      </c>
      <c r="L10" s="254">
        <f t="shared" si="1"/>
        <v>0</v>
      </c>
      <c r="M10" s="254">
        <f t="shared" si="1"/>
        <v>0</v>
      </c>
      <c r="N10" s="254">
        <f t="shared" si="1"/>
        <v>24923.34</v>
      </c>
    </row>
    <row r="12" spans="1:14">
      <c r="N12" s="255">
        <f>SUM(B10:M10)-N10</f>
        <v>0</v>
      </c>
    </row>
  </sheetData>
  <phoneticPr fontId="22" type="noConversion"/>
  <pageMargins left="0.25" right="0.25" top="0.75" bottom="0.75" header="0.3" footer="0.3"/>
  <pageSetup paperSize="9" firstPageNumber="429496729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9"/>
  <sheetViews>
    <sheetView workbookViewId="0">
      <selection activeCell="K5" sqref="K5"/>
    </sheetView>
  </sheetViews>
  <sheetFormatPr defaultRowHeight="15"/>
  <cols>
    <col min="1" max="1" width="16.42578125" bestFit="1" customWidth="1"/>
    <col min="2" max="2" width="11.140625" style="1" customWidth="1"/>
    <col min="3" max="3" width="9.140625" style="1"/>
    <col min="4" max="4" width="9.7109375" style="1" customWidth="1"/>
    <col min="5" max="5" width="10.28515625" style="1" customWidth="1"/>
    <col min="6" max="6" width="9.42578125" style="1" customWidth="1"/>
    <col min="7" max="7" width="8" style="1" customWidth="1"/>
    <col min="8" max="14" width="9.140625" style="1"/>
  </cols>
  <sheetData>
    <row r="1" spans="1:14">
      <c r="A1" s="249" t="s">
        <v>30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5"/>
      <c r="I1" s="215"/>
      <c r="J1" s="215"/>
      <c r="K1" s="215"/>
      <c r="L1" s="215"/>
      <c r="M1" s="215"/>
      <c r="N1" s="22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>
      <c r="A3" s="256" t="s">
        <v>125</v>
      </c>
      <c r="B3" s="224"/>
      <c r="C3" s="224"/>
      <c r="D3" s="224"/>
      <c r="E3" s="226">
        <v>5000</v>
      </c>
      <c r="F3" s="224"/>
      <c r="G3" s="226"/>
      <c r="H3" s="224"/>
      <c r="I3" s="226"/>
      <c r="J3" s="224"/>
      <c r="K3" s="224"/>
      <c r="L3" s="224"/>
      <c r="M3" s="224"/>
      <c r="N3" s="229">
        <f>SUM(B3:M3)</f>
        <v>5000</v>
      </c>
    </row>
    <row r="4" spans="1:14">
      <c r="A4" s="245" t="s">
        <v>126</v>
      </c>
      <c r="B4" s="229">
        <v>1200</v>
      </c>
      <c r="C4" s="229">
        <f>400+1200</f>
        <v>1600</v>
      </c>
      <c r="D4" s="229"/>
      <c r="E4" s="229">
        <v>1200</v>
      </c>
      <c r="F4" s="229">
        <v>1200</v>
      </c>
      <c r="G4" s="229"/>
      <c r="H4" s="229">
        <v>1200</v>
      </c>
      <c r="I4" s="229">
        <v>1200</v>
      </c>
      <c r="J4" s="229">
        <f>1200+1200</f>
        <v>2400</v>
      </c>
      <c r="K4" s="229">
        <v>1200</v>
      </c>
      <c r="L4" s="229"/>
      <c r="M4" s="229"/>
      <c r="N4" s="229">
        <f>SUM(B4:M4)</f>
        <v>11200</v>
      </c>
    </row>
    <row r="5" spans="1:14">
      <c r="A5" s="245" t="s">
        <v>127</v>
      </c>
      <c r="B5" s="229">
        <v>10000</v>
      </c>
      <c r="C5" s="229">
        <v>10000</v>
      </c>
      <c r="D5" s="229">
        <v>10000</v>
      </c>
      <c r="E5" s="229">
        <v>10000</v>
      </c>
      <c r="F5" s="229">
        <v>10000</v>
      </c>
      <c r="G5" s="229">
        <v>10000</v>
      </c>
      <c r="H5" s="229">
        <v>10000</v>
      </c>
      <c r="I5" s="229">
        <v>10000</v>
      </c>
      <c r="J5" s="229">
        <v>10000</v>
      </c>
      <c r="K5" s="229"/>
      <c r="L5" s="229"/>
      <c r="M5" s="229"/>
      <c r="N5" s="229">
        <f>SUM(B5:M5)</f>
        <v>90000</v>
      </c>
    </row>
    <row r="6" spans="1:14">
      <c r="A6" s="245" t="s">
        <v>128</v>
      </c>
      <c r="B6" s="229">
        <v>1000</v>
      </c>
      <c r="C6" s="229">
        <v>1000</v>
      </c>
      <c r="D6" s="229">
        <v>1000</v>
      </c>
      <c r="E6" s="229">
        <v>1000</v>
      </c>
      <c r="F6" s="229">
        <v>1000</v>
      </c>
      <c r="G6" s="229">
        <v>1000</v>
      </c>
      <c r="H6" s="229">
        <v>1000</v>
      </c>
      <c r="I6" s="229">
        <v>1000</v>
      </c>
      <c r="J6" s="229">
        <v>1000</v>
      </c>
      <c r="K6" s="229"/>
      <c r="L6" s="229"/>
      <c r="M6" s="229"/>
      <c r="N6" s="229">
        <f>SUM(B6:M6)</f>
        <v>9000</v>
      </c>
    </row>
    <row r="7" spans="1:14">
      <c r="A7" s="257" t="s">
        <v>104</v>
      </c>
      <c r="B7" s="254">
        <f>SUM(B3:B6)</f>
        <v>12200</v>
      </c>
      <c r="C7" s="254">
        <f>SUM(C3:C6)</f>
        <v>12600</v>
      </c>
      <c r="D7" s="254">
        <f>SUM(D3:D6)</f>
        <v>11000</v>
      </c>
      <c r="E7" s="254">
        <f>SUM(E3:E6)</f>
        <v>17200</v>
      </c>
      <c r="F7" s="254">
        <f t="shared" ref="F7:M7" si="0">SUM(F3:F6)</f>
        <v>12200</v>
      </c>
      <c r="G7" s="254">
        <f t="shared" si="0"/>
        <v>11000</v>
      </c>
      <c r="H7" s="254">
        <f t="shared" si="0"/>
        <v>12200</v>
      </c>
      <c r="I7" s="254">
        <f t="shared" si="0"/>
        <v>12200</v>
      </c>
      <c r="J7" s="254">
        <f t="shared" si="0"/>
        <v>13400</v>
      </c>
      <c r="K7" s="254">
        <f t="shared" si="0"/>
        <v>1200</v>
      </c>
      <c r="L7" s="254">
        <f t="shared" si="0"/>
        <v>0</v>
      </c>
      <c r="M7" s="254">
        <f t="shared" si="0"/>
        <v>0</v>
      </c>
      <c r="N7" s="258">
        <f>SUM(N3:N6)</f>
        <v>115200</v>
      </c>
    </row>
    <row r="9" spans="1:14">
      <c r="N9" s="255">
        <f>SUM(B7:M7)-N7</f>
        <v>0</v>
      </c>
    </row>
  </sheetData>
  <phoneticPr fontId="22" type="noConversion"/>
  <pageMargins left="0.7" right="0.7" top="0.75" bottom="0.75" header="0.3" footer="0.3"/>
  <pageSetup paperSize="9" scale="94" firstPageNumber="4294967295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"/>
    <pageSetUpPr fitToPage="1"/>
  </sheetPr>
  <dimension ref="A1:N10"/>
  <sheetViews>
    <sheetView workbookViewId="0">
      <selection activeCell="K4" sqref="K4"/>
    </sheetView>
  </sheetViews>
  <sheetFormatPr defaultRowHeight="15"/>
  <cols>
    <col min="1" max="1" width="27.28515625" bestFit="1" customWidth="1"/>
    <col min="3" max="3" width="9.28515625" customWidth="1"/>
    <col min="4" max="4" width="9.42578125" customWidth="1"/>
    <col min="5" max="5" width="10.42578125" customWidth="1"/>
    <col min="6" max="6" width="12.7109375" bestFit="1" customWidth="1"/>
    <col min="7" max="7" width="8" customWidth="1"/>
    <col min="8" max="8" width="8.85546875" customWidth="1"/>
    <col min="12" max="12" width="10.42578125" customWidth="1"/>
  </cols>
  <sheetData>
    <row r="1" spans="1:14">
      <c r="A1" s="249" t="s">
        <v>129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29" t="s">
        <v>4</v>
      </c>
      <c r="C2" s="229" t="s">
        <v>5</v>
      </c>
      <c r="D2" s="229" t="s">
        <v>6</v>
      </c>
      <c r="E2" s="230" t="s">
        <v>7</v>
      </c>
      <c r="F2" s="229" t="s">
        <v>8</v>
      </c>
      <c r="G2" s="230" t="s">
        <v>9</v>
      </c>
      <c r="H2" s="229" t="s">
        <v>14</v>
      </c>
      <c r="I2" s="230" t="s">
        <v>15</v>
      </c>
      <c r="J2" s="229" t="s">
        <v>16</v>
      </c>
      <c r="K2" s="229" t="s">
        <v>17</v>
      </c>
      <c r="L2" s="229" t="s">
        <v>18</v>
      </c>
      <c r="M2" s="229" t="s">
        <v>19</v>
      </c>
      <c r="N2" s="259" t="s">
        <v>104</v>
      </c>
    </row>
    <row r="3" spans="1:14" ht="25.5" customHeight="1">
      <c r="A3" s="260" t="s">
        <v>130</v>
      </c>
      <c r="B3" s="243">
        <f>63700+36641.28+51032+3465+32000+14800+36800+37151.38+7478+6654+155435.19+23190.6+130660+12900.66+10000+50335.24</f>
        <v>672243.35</v>
      </c>
      <c r="C3" s="243">
        <f>37434.53+27994.19+41849.34+71891+10000+18000+18500+36800+251+147340.74+25799.67+20918.76+23304.9+123540+1684.9</f>
        <v>605309.03</v>
      </c>
      <c r="D3" s="243">
        <f>36800+36800+18500+1963+762+39171.29+43240+38018.82+64205+34523.83+24700+124300.33+39927.73+21858.44+88024+22200+13132.57+28663.71+5102.1</f>
        <v>681892.81999999983</v>
      </c>
      <c r="E3" s="243">
        <f>33760.35+167368.88+19819.99+22860+20437.16+62484+5044+43240+43240+35545.91+70194+3054+36800+36800+18500+16000+38410.4+5740+1000+5000</f>
        <v>685298.69000000006</v>
      </c>
      <c r="F3" s="243">
        <f>25049.91+23714.73+43240+14054.45+63208+5900+689+48364.51+36800+18500+16000+174191.19+13526.19+5341+4607.5+143700+22200</f>
        <v>659086.48</v>
      </c>
      <c r="G3" s="243">
        <f>148050.24+48018.57+5111+16800.8+139960+22200+5000+5153.17+19610+770+7790+81353.53+29156.76+41309.29+81091+625+36800+18500+16000</f>
        <v>723299.36</v>
      </c>
      <c r="H3" s="243">
        <f>3468.57+138060+22200+73731.62+19056.76+30022.81+11757.76+65084+519+5900+36800+36800+18500+16000+86366.78+28312.44+6940</f>
        <v>599519.74</v>
      </c>
      <c r="I3" s="243">
        <f>43240+242615.96+42187.27+88403+16008+40372+220462+40720</f>
        <v>734008.23</v>
      </c>
      <c r="J3" s="243">
        <f>14698.12+49305+605+16008+280340.16+124987+4049.65+64930.91+184779.87+40800.39+3887.38+3188+518</f>
        <v>788097.48</v>
      </c>
      <c r="K3" s="243">
        <f>18794+16008+14727+269846.41+87112.4+60823.64+30015+164541</f>
        <v>661867.44999999995</v>
      </c>
      <c r="L3" s="243"/>
      <c r="M3" s="243"/>
      <c r="N3" s="261">
        <f>SUM(B3:M3)</f>
        <v>6810622.6299999999</v>
      </c>
    </row>
    <row r="4" spans="1:14">
      <c r="A4" s="262" t="s">
        <v>131</v>
      </c>
      <c r="B4" s="245">
        <v>30000</v>
      </c>
      <c r="C4" s="245">
        <v>30000</v>
      </c>
      <c r="D4" s="245">
        <v>30000</v>
      </c>
      <c r="E4" s="246">
        <v>30000</v>
      </c>
      <c r="F4" s="245">
        <v>30000</v>
      </c>
      <c r="G4" s="246">
        <v>30000</v>
      </c>
      <c r="H4" s="245">
        <f>30000</f>
        <v>30000</v>
      </c>
      <c r="I4" s="246">
        <v>30000</v>
      </c>
      <c r="J4" s="245">
        <v>30000</v>
      </c>
      <c r="K4" s="245">
        <v>30000</v>
      </c>
      <c r="L4" s="245"/>
      <c r="M4" s="245"/>
      <c r="N4" s="261">
        <f>SUM(B4:M4)</f>
        <v>300000</v>
      </c>
    </row>
    <row r="5" spans="1:14">
      <c r="A5" s="249" t="s">
        <v>104</v>
      </c>
      <c r="B5" s="263">
        <f t="shared" ref="B5:N5" si="0">SUM(B3:B4)</f>
        <v>702243.35</v>
      </c>
      <c r="C5" s="263">
        <f t="shared" si="0"/>
        <v>635309.03</v>
      </c>
      <c r="D5" s="263">
        <f t="shared" si="0"/>
        <v>711892.81999999983</v>
      </c>
      <c r="E5" s="263">
        <f t="shared" si="0"/>
        <v>715298.69000000006</v>
      </c>
      <c r="F5" s="263">
        <f t="shared" si="0"/>
        <v>689086.48</v>
      </c>
      <c r="G5" s="263">
        <f t="shared" si="0"/>
        <v>753299.36</v>
      </c>
      <c r="H5" s="263">
        <f t="shared" si="0"/>
        <v>629519.74</v>
      </c>
      <c r="I5" s="263">
        <f t="shared" si="0"/>
        <v>764008.23</v>
      </c>
      <c r="J5" s="263">
        <f t="shared" si="0"/>
        <v>818097.48</v>
      </c>
      <c r="K5" s="263">
        <f t="shared" si="0"/>
        <v>691867.45</v>
      </c>
      <c r="L5" s="263">
        <f t="shared" si="0"/>
        <v>0</v>
      </c>
      <c r="M5" s="263">
        <f t="shared" si="0"/>
        <v>0</v>
      </c>
      <c r="N5" s="263">
        <f t="shared" si="0"/>
        <v>7110622.6299999999</v>
      </c>
    </row>
    <row r="7" spans="1:14">
      <c r="N7" s="255">
        <f>SUM(B5:M5)-N5</f>
        <v>0</v>
      </c>
    </row>
    <row r="9" spans="1:14" s="264" customFormat="1" ht="15.75">
      <c r="M9" s="229"/>
    </row>
    <row r="10" spans="1:14" ht="18.75">
      <c r="A10" s="265"/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95"/>
    </row>
  </sheetData>
  <phoneticPr fontId="22" type="noConversion"/>
  <pageMargins left="0.7" right="0.7" top="0.75" bottom="0.75" header="0.3" footer="0.3"/>
  <pageSetup paperSize="9" scale="88" firstPageNumber="4294967295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8"/>
  <sheetViews>
    <sheetView workbookViewId="0">
      <selection activeCell="K4" sqref="K4"/>
    </sheetView>
  </sheetViews>
  <sheetFormatPr defaultRowHeight="15"/>
  <cols>
    <col min="1" max="1" width="20.28515625" style="1" bestFit="1" customWidth="1"/>
    <col min="2" max="2" width="10.28515625" style="1" customWidth="1"/>
    <col min="3" max="3" width="10.7109375" style="1" customWidth="1"/>
    <col min="4" max="4" width="8.5703125" style="1" customWidth="1"/>
    <col min="5" max="5" width="10" style="1" customWidth="1"/>
    <col min="6" max="14" width="9.140625" style="1"/>
  </cols>
  <sheetData>
    <row r="1" spans="1:14">
      <c r="A1" s="216" t="s">
        <v>33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5"/>
      <c r="I1" s="215"/>
      <c r="J1" s="215"/>
      <c r="K1" s="215"/>
      <c r="L1" s="215"/>
      <c r="M1" s="215"/>
      <c r="N1" s="220"/>
    </row>
    <row r="2" spans="1:14">
      <c r="A2" s="22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 ht="29.25" customHeight="1">
      <c r="A3" s="266" t="s">
        <v>132</v>
      </c>
      <c r="B3" s="229"/>
      <c r="C3" s="229"/>
      <c r="D3" s="229"/>
      <c r="E3" s="229"/>
      <c r="F3" s="229"/>
      <c r="G3" s="229"/>
      <c r="H3" s="229">
        <f>46270+4870</f>
        <v>51140</v>
      </c>
      <c r="I3" s="229"/>
      <c r="J3" s="229">
        <f>5000+25000+10000</f>
        <v>40000</v>
      </c>
      <c r="K3" s="229">
        <v>10000</v>
      </c>
      <c r="L3" s="229"/>
      <c r="M3" s="229"/>
      <c r="N3" s="229">
        <f>SUM(B3:M3)</f>
        <v>101140</v>
      </c>
    </row>
    <row r="4" spans="1:14">
      <c r="A4" s="266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>
        <f>SUM(B4:M4)</f>
        <v>0</v>
      </c>
    </row>
    <row r="5" spans="1:14">
      <c r="A5" s="216" t="s">
        <v>104</v>
      </c>
      <c r="B5" s="247">
        <f>SUM(B3:B4)</f>
        <v>0</v>
      </c>
      <c r="C5" s="247">
        <f t="shared" ref="C5:M5" si="0">SUM(C3:C4)</f>
        <v>0</v>
      </c>
      <c r="D5" s="247">
        <f t="shared" si="0"/>
        <v>0</v>
      </c>
      <c r="E5" s="247">
        <f t="shared" si="0"/>
        <v>0</v>
      </c>
      <c r="F5" s="247">
        <f t="shared" si="0"/>
        <v>0</v>
      </c>
      <c r="G5" s="247">
        <f t="shared" si="0"/>
        <v>0</v>
      </c>
      <c r="H5" s="247">
        <f t="shared" si="0"/>
        <v>51140</v>
      </c>
      <c r="I5" s="247">
        <f t="shared" si="0"/>
        <v>0</v>
      </c>
      <c r="J5" s="247">
        <f t="shared" si="0"/>
        <v>40000</v>
      </c>
      <c r="K5" s="247">
        <f t="shared" si="0"/>
        <v>10000</v>
      </c>
      <c r="L5" s="247">
        <f t="shared" si="0"/>
        <v>0</v>
      </c>
      <c r="M5" s="247">
        <f t="shared" si="0"/>
        <v>0</v>
      </c>
      <c r="N5" s="247">
        <f>SUM(N3:N4)</f>
        <v>101140</v>
      </c>
    </row>
    <row r="6" spans="1:14">
      <c r="H6" s="267"/>
    </row>
    <row r="7" spans="1:14">
      <c r="N7" s="255">
        <f>SUM(B5:M5)-N5</f>
        <v>0</v>
      </c>
    </row>
    <row r="8" spans="1:14">
      <c r="A8" s="268"/>
    </row>
  </sheetData>
  <phoneticPr fontId="22" type="noConversion"/>
  <pageMargins left="0.7" right="0.7" top="0.75" bottom="0.75" header="0.3" footer="0.3"/>
  <pageSetup paperSize="9" scale="92" firstPageNumber="4294967295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N14"/>
  <sheetViews>
    <sheetView workbookViewId="0">
      <selection activeCell="K3" sqref="K3"/>
    </sheetView>
  </sheetViews>
  <sheetFormatPr defaultRowHeight="15"/>
  <cols>
    <col min="1" max="1" width="28.28515625" bestFit="1" customWidth="1"/>
    <col min="2" max="2" width="7.5703125" customWidth="1"/>
    <col min="3" max="4" width="8" customWidth="1"/>
    <col min="5" max="5" width="9" customWidth="1"/>
    <col min="6" max="6" width="9.28515625" customWidth="1"/>
  </cols>
  <sheetData>
    <row r="1" spans="1:14">
      <c r="A1" s="249" t="s">
        <v>34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19" t="s">
        <v>4</v>
      </c>
      <c r="C2" s="219" t="s">
        <v>5</v>
      </c>
      <c r="D2" s="22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>
      <c r="A3" s="245" t="s">
        <v>133</v>
      </c>
      <c r="B3" s="245">
        <f>154045.07+18856.35+1400.66+28989.52</f>
        <v>203291.6</v>
      </c>
      <c r="C3" s="245">
        <f>165362.79+20959.2+1503.3+34445.96</f>
        <v>222271.25</v>
      </c>
      <c r="D3">
        <f>143978.96+17181.05+1308.9+25040.77</f>
        <v>187509.67999999996</v>
      </c>
      <c r="E3" s="245">
        <f>1380.71+18309.04+27274.02+151878.28</f>
        <v>198842.05</v>
      </c>
      <c r="F3" s="245">
        <f>139603.65+1269.13+17100.03+26324.94</f>
        <v>184297.75</v>
      </c>
      <c r="G3" s="245">
        <f>157199.66+18656+1429.08+26864.06+1056.78+139.31+9.61+244.99+2510+1056.78</f>
        <v>209166.26999999996</v>
      </c>
      <c r="H3" s="245">
        <f>144846.89+14496.76+1353.17+26394+500</f>
        <v>187590.82000000004</v>
      </c>
      <c r="I3" s="245">
        <f>175598.59+17989.59+1596.35+29164.75</f>
        <v>224349.28</v>
      </c>
      <c r="J3" s="245">
        <f>1573.78+236067.69</f>
        <v>237641.47</v>
      </c>
      <c r="K3" s="245">
        <f>3200.56+89979+249084.23+33666</f>
        <v>375929.79000000004</v>
      </c>
      <c r="L3" s="245"/>
      <c r="M3" s="245"/>
      <c r="N3" s="243">
        <f>SUM(B3:M3)</f>
        <v>2230889.96</v>
      </c>
    </row>
    <row r="4" spans="1:14">
      <c r="A4" s="245" t="s">
        <v>134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3">
        <f>SUM(B4:M4)</f>
        <v>0</v>
      </c>
    </row>
    <row r="5" spans="1:14">
      <c r="A5" s="245" t="s">
        <v>135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3">
        <f>SUM(B5:M5)</f>
        <v>0</v>
      </c>
    </row>
    <row r="6" spans="1:14">
      <c r="A6" s="249" t="s">
        <v>104</v>
      </c>
      <c r="B6" s="263">
        <f t="shared" ref="B6:N6" si="0">SUM(B3:B5)</f>
        <v>203291.6</v>
      </c>
      <c r="C6" s="263">
        <f t="shared" si="0"/>
        <v>222271.25</v>
      </c>
      <c r="D6" s="263">
        <f>SUM(D3:D5)</f>
        <v>187509.67999999996</v>
      </c>
      <c r="E6" s="263">
        <f t="shared" si="0"/>
        <v>198842.05</v>
      </c>
      <c r="F6" s="263">
        <f t="shared" si="0"/>
        <v>184297.75</v>
      </c>
      <c r="G6" s="263">
        <f t="shared" si="0"/>
        <v>209166.26999999996</v>
      </c>
      <c r="H6" s="263">
        <f t="shared" si="0"/>
        <v>187590.82000000004</v>
      </c>
      <c r="I6" s="263">
        <f t="shared" si="0"/>
        <v>224349.28</v>
      </c>
      <c r="J6" s="263">
        <f t="shared" si="0"/>
        <v>237641.47</v>
      </c>
      <c r="K6" s="263">
        <f t="shared" si="0"/>
        <v>375929.79000000004</v>
      </c>
      <c r="L6" s="263">
        <f t="shared" si="0"/>
        <v>0</v>
      </c>
      <c r="M6" s="263">
        <f t="shared" si="0"/>
        <v>0</v>
      </c>
      <c r="N6" s="263">
        <f t="shared" si="0"/>
        <v>2230889.96</v>
      </c>
    </row>
    <row r="8" spans="1:14">
      <c r="N8" s="255">
        <f>SUM(B6:M6)-N6</f>
        <v>0</v>
      </c>
    </row>
    <row r="9" spans="1:14" ht="15.75" hidden="1">
      <c r="A9" s="373"/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</row>
    <row r="10" spans="1:14" ht="15.75" hidden="1">
      <c r="A10" s="373"/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</row>
    <row r="11" spans="1:14" hidden="1"/>
    <row r="12" spans="1:14" ht="15.75" hidden="1">
      <c r="A12" s="196"/>
      <c r="B12" s="264"/>
      <c r="C12" s="264"/>
      <c r="D12" s="264"/>
      <c r="E12" s="264"/>
      <c r="F12" s="264"/>
      <c r="G12" s="264"/>
      <c r="H12" s="264"/>
      <c r="I12" s="264"/>
      <c r="J12" s="264"/>
      <c r="K12" s="264"/>
    </row>
    <row r="13" spans="1:14" ht="15.75" hidden="1">
      <c r="A13" s="371"/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2"/>
    </row>
    <row r="14" spans="1:14" hidden="1"/>
  </sheetData>
  <mergeCells count="3">
    <mergeCell ref="A13:L13"/>
    <mergeCell ref="A9:L9"/>
    <mergeCell ref="A10:L10"/>
  </mergeCells>
  <phoneticPr fontId="22" type="noConversion"/>
  <pageMargins left="0.25" right="0.25" top="0.75" bottom="0.75" header="0.3" footer="0.3"/>
  <pageSetup paperSize="9" scale="99" firstPageNumber="42949672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</vt:i4>
      </vt:variant>
    </vt:vector>
  </HeadingPairs>
  <TitlesOfParts>
    <vt:vector size="24" baseType="lpstr">
      <vt:lpstr>ВСЕ затраты за 6 мес.</vt:lpstr>
      <vt:lpstr>ВСЕ затраты</vt:lpstr>
      <vt:lpstr>ВСЕ затраты в 2016-2017 гг (2)</vt:lpstr>
      <vt:lpstr>общехоз расходы</vt:lpstr>
      <vt:lpstr>программ обеспечение</vt:lpstr>
      <vt:lpstr>услуги связи</vt:lpstr>
      <vt:lpstr>з пл</vt:lpstr>
      <vt:lpstr>премиальный фонд</vt:lpstr>
      <vt:lpstr>налог с ФОТ</vt:lpstr>
      <vt:lpstr>сод охраны</vt:lpstr>
      <vt:lpstr>вывоз мусора</vt:lpstr>
      <vt:lpstr>содерж газ оборуд</vt:lpstr>
      <vt:lpstr>сод сетей водоснабжения</vt:lpstr>
      <vt:lpstr>канализация</vt:lpstr>
      <vt:lpstr>электроснабжение</vt:lpstr>
      <vt:lpstr>содерж дорог</vt:lpstr>
      <vt:lpstr>ямочный ремонт</vt:lpstr>
      <vt:lpstr>благоустройство</vt:lpstr>
      <vt:lpstr>резервный фонд</vt:lpstr>
      <vt:lpstr>Ремонт водопров.</vt:lpstr>
      <vt:lpstr>Лиц.скважин</vt:lpstr>
      <vt:lpstr>Оформление земли</vt:lpstr>
      <vt:lpstr>приобрт инвентаря и оборуд</vt:lpstr>
      <vt:lpstr>'ВСЕ затраты'!Область_печати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user</cp:lastModifiedBy>
  <cp:revision>1</cp:revision>
  <dcterms:created xsi:type="dcterms:W3CDTF">2015-11-16T11:04:42Z</dcterms:created>
  <dcterms:modified xsi:type="dcterms:W3CDTF">2023-04-04T10:23:00Z</dcterms:modified>
</cp:coreProperties>
</file>