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K3" i="9"/>
  <c r="K78" i="4"/>
  <c r="K10"/>
  <c r="K13"/>
  <c r="K6" i="17"/>
  <c r="K75" i="4"/>
  <c r="K9"/>
  <c r="M6" i="2"/>
  <c r="K5" i="16"/>
  <c r="M9" i="2"/>
  <c r="K3" i="7"/>
  <c r="K29" i="17"/>
  <c r="K28" i="20"/>
  <c r="N26" i="4"/>
  <c r="N27"/>
  <c r="N10" i="15"/>
  <c r="N11"/>
  <c r="N12"/>
  <c r="J6" i="17"/>
  <c r="J3" i="7"/>
  <c r="L30" i="2"/>
  <c r="J5" i="4"/>
  <c r="J3" i="8"/>
  <c r="J11" i="17"/>
  <c r="J5" i="16"/>
  <c r="L9" i="2"/>
  <c r="L6"/>
  <c r="J3" i="9"/>
  <c r="J4" i="6"/>
  <c r="N5" i="23"/>
  <c r="I11" i="4"/>
  <c r="I13"/>
  <c r="N68"/>
  <c r="N69"/>
  <c r="N70"/>
  <c r="N71"/>
  <c r="N72"/>
  <c r="N73"/>
  <c r="N74"/>
  <c r="N75"/>
  <c r="N76"/>
  <c r="I9"/>
  <c r="N5" i="17"/>
  <c r="I6"/>
  <c r="J9" i="2"/>
  <c r="I5" i="16"/>
  <c r="H5"/>
  <c r="I3" i="7"/>
  <c r="I22" i="15"/>
  <c r="K6" i="2"/>
  <c r="K9"/>
  <c r="H3" i="9"/>
  <c r="H22" i="17"/>
  <c r="H28" i="16"/>
  <c r="H53" i="4"/>
  <c r="H27" i="16"/>
  <c r="H40" i="4"/>
  <c r="H45" i="19"/>
  <c r="H11" i="4"/>
  <c r="P8" i="2"/>
  <c r="H3" i="7"/>
  <c r="I3" i="9"/>
  <c r="H3" i="8"/>
  <c r="H4" i="15"/>
  <c r="N9"/>
  <c r="N7"/>
  <c r="H4" i="7"/>
  <c r="N7" i="20"/>
  <c r="N8"/>
  <c r="N9"/>
  <c r="N10"/>
  <c r="J6" i="2"/>
  <c r="G6" i="17"/>
  <c r="G8" i="4"/>
  <c r="G9"/>
  <c r="I6" i="2"/>
  <c r="G5" i="16"/>
  <c r="G3" i="9"/>
  <c r="G3" i="7"/>
  <c r="I9" i="2"/>
  <c r="G16" i="17"/>
  <c r="G43" i="4"/>
  <c r="I39" i="2"/>
  <c r="Q18"/>
  <c r="F3" i="9"/>
  <c r="F3" i="7"/>
  <c r="F9" i="4"/>
  <c r="F13"/>
  <c r="F38"/>
  <c r="H9" i="2"/>
  <c r="H6"/>
  <c r="F5" i="16"/>
  <c r="F14" i="17"/>
  <c r="F7" i="4"/>
  <c r="N21" i="15"/>
  <c r="N22"/>
  <c r="N23"/>
  <c r="N24"/>
  <c r="N25"/>
  <c r="N26"/>
  <c r="N27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13" i="15"/>
  <c r="D27" i="19"/>
  <c r="D29" i="4"/>
  <c r="D13"/>
  <c r="D11"/>
  <c r="D5" i="16"/>
  <c r="F6" i="2"/>
  <c r="F9"/>
  <c r="D3" i="7"/>
  <c r="D3" i="9"/>
  <c r="D4" i="15"/>
  <c r="B43" i="2"/>
  <c r="C11" i="18"/>
  <c r="B11"/>
  <c r="D28" i="2"/>
  <c r="C22" i="19"/>
  <c r="C16"/>
  <c r="C3"/>
  <c r="N6" i="17"/>
  <c r="N7"/>
  <c r="N8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M36" i="2"/>
  <c r="J17" i="21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N33" i="2"/>
  <c r="K66" i="20"/>
  <c r="J66"/>
  <c r="I66"/>
  <c r="K33" i="2"/>
  <c r="H66" i="20"/>
  <c r="G66"/>
  <c r="N31" i="1"/>
  <c r="F66" i="20"/>
  <c r="E66"/>
  <c r="G33" i="2"/>
  <c r="D66" i="20"/>
  <c r="K31" i="1"/>
  <c r="C66" i="20"/>
  <c r="E33" i="2"/>
  <c r="B66" i="20"/>
  <c r="I31" i="1"/>
  <c r="N65" i="20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6"/>
  <c r="N12"/>
  <c r="N11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5" i="17"/>
  <c r="L45"/>
  <c r="K45"/>
  <c r="M27" i="2"/>
  <c r="J45" i="17"/>
  <c r="L27" i="2"/>
  <c r="I45" i="17"/>
  <c r="K27" i="2"/>
  <c r="H45" i="17"/>
  <c r="J27" i="2"/>
  <c r="G45" i="17"/>
  <c r="N28" i="1"/>
  <c r="F45" i="17"/>
  <c r="H27" i="2"/>
  <c r="E45" i="17"/>
  <c r="D45"/>
  <c r="F27" i="2"/>
  <c r="C45" i="17"/>
  <c r="E27" i="2"/>
  <c r="B45" i="17"/>
  <c r="D27" i="2"/>
  <c r="N44" i="17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4"/>
  <c r="G1"/>
  <c r="M46" i="16"/>
  <c r="L46"/>
  <c r="K46"/>
  <c r="M26" i="2"/>
  <c r="J46" i="16"/>
  <c r="I46"/>
  <c r="K26" i="2"/>
  <c r="H46" i="16"/>
  <c r="J26" i="2"/>
  <c r="G46" i="16"/>
  <c r="I26" i="2"/>
  <c r="F46" i="16"/>
  <c r="H26" i="2"/>
  <c r="E46" i="1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32" i="15"/>
  <c r="L32"/>
  <c r="K32"/>
  <c r="M25" i="2"/>
  <c r="J32" i="15"/>
  <c r="L25" i="2"/>
  <c r="I32" i="15"/>
  <c r="K25" i="2"/>
  <c r="H32" i="15"/>
  <c r="J25" i="2"/>
  <c r="G32" i="15"/>
  <c r="I25" i="2"/>
  <c r="F32" i="15"/>
  <c r="H25" i="2"/>
  <c r="E32" i="15"/>
  <c r="G25" i="2"/>
  <c r="D32" i="15"/>
  <c r="F25" i="2"/>
  <c r="C32" i="15"/>
  <c r="B32"/>
  <c r="D25" i="2"/>
  <c r="N31" i="15"/>
  <c r="N30"/>
  <c r="N29"/>
  <c r="N28"/>
  <c r="N20"/>
  <c r="N19"/>
  <c r="N18"/>
  <c r="N17"/>
  <c r="N16"/>
  <c r="N15"/>
  <c r="N14"/>
  <c r="N13"/>
  <c r="N8"/>
  <c r="N6"/>
  <c r="N5"/>
  <c r="N4"/>
  <c r="N3"/>
  <c r="G1"/>
  <c r="M31" i="14"/>
  <c r="L31"/>
  <c r="N24" i="2"/>
  <c r="K31" i="14"/>
  <c r="J31"/>
  <c r="L24" i="2"/>
  <c r="I31" i="14"/>
  <c r="H31"/>
  <c r="J24" i="2"/>
  <c r="G31" i="14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J21" i="2"/>
  <c r="G10" i="12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J22" i="2"/>
  <c r="G7" i="11"/>
  <c r="N21" i="1"/>
  <c r="F7" i="11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M19" i="2"/>
  <c r="J6" i="9"/>
  <c r="L19" i="2"/>
  <c r="I6" i="9"/>
  <c r="K19" i="2"/>
  <c r="H6" i="9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L18" i="2"/>
  <c r="I5" i="8"/>
  <c r="H5"/>
  <c r="J18" i="2"/>
  <c r="G5" i="8"/>
  <c r="F5"/>
  <c r="E5"/>
  <c r="D5"/>
  <c r="C5"/>
  <c r="B5"/>
  <c r="N4"/>
  <c r="N3"/>
  <c r="G1"/>
  <c r="M5" i="7"/>
  <c r="L5"/>
  <c r="K5"/>
  <c r="M17" i="2"/>
  <c r="J5" i="7"/>
  <c r="L17" i="2"/>
  <c r="I5" i="7"/>
  <c r="K17" i="2"/>
  <c r="H5" i="7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4"/>
  <c r="N3"/>
  <c r="G1"/>
  <c r="M91" i="4"/>
  <c r="L91"/>
  <c r="N14" i="2"/>
  <c r="K91" i="4"/>
  <c r="M14" i="2"/>
  <c r="J91" i="4"/>
  <c r="L14" i="2"/>
  <c r="I91" i="4"/>
  <c r="K14" i="2"/>
  <c r="H91" i="4"/>
  <c r="J14" i="2"/>
  <c r="F91" i="4"/>
  <c r="H14" i="2"/>
  <c r="E91" i="4"/>
  <c r="G14" i="2"/>
  <c r="D91" i="4"/>
  <c r="F14" i="2"/>
  <c r="C91" i="4"/>
  <c r="E14" i="2"/>
  <c r="N90" i="4"/>
  <c r="N89"/>
  <c r="N88"/>
  <c r="N87"/>
  <c r="N86"/>
  <c r="N85"/>
  <c r="N84"/>
  <c r="N83"/>
  <c r="N82"/>
  <c r="N81"/>
  <c r="N80"/>
  <c r="N79"/>
  <c r="N78"/>
  <c r="N77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91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D40"/>
  <c r="D36"/>
  <c r="D38"/>
  <c r="D35"/>
  <c r="Q39"/>
  <c r="P39"/>
  <c r="R39"/>
  <c r="Q38"/>
  <c r="O38"/>
  <c r="N38"/>
  <c r="N35"/>
  <c r="M38"/>
  <c r="L38"/>
  <c r="K38"/>
  <c r="J38"/>
  <c r="I38"/>
  <c r="H38"/>
  <c r="G38"/>
  <c r="F38"/>
  <c r="E38"/>
  <c r="R37"/>
  <c r="Q36"/>
  <c r="L36"/>
  <c r="K36"/>
  <c r="K35"/>
  <c r="I36"/>
  <c r="H36"/>
  <c r="H35"/>
  <c r="B35"/>
  <c r="B34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G27"/>
  <c r="C27"/>
  <c r="Q27"/>
  <c r="O26"/>
  <c r="N26"/>
  <c r="L26"/>
  <c r="C26"/>
  <c r="Q26"/>
  <c r="O25"/>
  <c r="N25"/>
  <c r="E25"/>
  <c r="C25"/>
  <c r="Q25"/>
  <c r="O24"/>
  <c r="M24"/>
  <c r="K24"/>
  <c r="I24"/>
  <c r="C24"/>
  <c r="Q24"/>
  <c r="N23"/>
  <c r="M23"/>
  <c r="L23"/>
  <c r="J23"/>
  <c r="I23"/>
  <c r="F23"/>
  <c r="D23"/>
  <c r="C23"/>
  <c r="Q23"/>
  <c r="N22"/>
  <c r="M22"/>
  <c r="L22"/>
  <c r="I22"/>
  <c r="F22"/>
  <c r="E22"/>
  <c r="D22"/>
  <c r="C22"/>
  <c r="Q22"/>
  <c r="O21"/>
  <c r="N21"/>
  <c r="K21"/>
  <c r="C21"/>
  <c r="Q21"/>
  <c r="N20"/>
  <c r="K20"/>
  <c r="J20"/>
  <c r="F20"/>
  <c r="C20"/>
  <c r="Q20"/>
  <c r="O19"/>
  <c r="J19"/>
  <c r="I19"/>
  <c r="F19"/>
  <c r="E19"/>
  <c r="C19"/>
  <c r="Q19"/>
  <c r="O18"/>
  <c r="N18"/>
  <c r="M18"/>
  <c r="K18"/>
  <c r="I18"/>
  <c r="H18"/>
  <c r="G18"/>
  <c r="F18"/>
  <c r="E18"/>
  <c r="D18"/>
  <c r="O17"/>
  <c r="N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M29"/>
  <c r="G29"/>
  <c r="V29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R7" i="2"/>
  <c r="L35"/>
  <c r="I27"/>
  <c r="I35"/>
  <c r="N10" i="5"/>
  <c r="N12"/>
  <c r="N16" i="1"/>
  <c r="M19"/>
  <c r="M23"/>
  <c r="M28"/>
  <c r="M20"/>
  <c r="N7" i="6"/>
  <c r="N9"/>
  <c r="H22" i="2"/>
  <c r="G17"/>
  <c r="L26" i="1"/>
  <c r="L23"/>
  <c r="J23"/>
  <c r="K23"/>
  <c r="U23"/>
  <c r="W23"/>
  <c r="L20"/>
  <c r="I32"/>
  <c r="L22"/>
  <c r="R6" i="2"/>
  <c r="R9"/>
  <c r="K28" i="1"/>
  <c r="K29"/>
  <c r="N32" i="15"/>
  <c r="N34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R22"/>
  <c r="O35"/>
  <c r="B91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5" i="17"/>
  <c r="N47"/>
  <c r="P27" i="2"/>
  <c r="R27"/>
  <c r="N10" i="12"/>
  <c r="N12"/>
  <c r="J20" i="1"/>
  <c r="U20"/>
  <c r="W20"/>
  <c r="N66" i="20"/>
  <c r="N68"/>
  <c r="N11" i="18"/>
  <c r="N13"/>
  <c r="J22" i="1"/>
  <c r="U22"/>
  <c r="W22"/>
  <c r="P23" i="2"/>
  <c r="R23"/>
  <c r="J32" i="1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P11" i="2"/>
  <c r="G10" i="1"/>
  <c r="V10"/>
  <c r="W10"/>
  <c r="U17"/>
  <c r="W17"/>
  <c r="J34" i="2"/>
  <c r="J43"/>
  <c r="I34"/>
  <c r="M34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P18"/>
  <c r="R18"/>
  <c r="N91" i="4"/>
  <c r="H10" i="3"/>
  <c r="T33"/>
  <c r="B6" i="9"/>
  <c r="N3" i="7"/>
  <c r="N5"/>
  <c r="N7"/>
  <c r="B62" i="19"/>
  <c r="Q14" i="2"/>
  <c r="N10" i="16"/>
  <c r="N46"/>
  <c r="N48"/>
  <c r="M43" i="2"/>
  <c r="O43"/>
  <c r="I43"/>
  <c r="P33"/>
  <c r="R33"/>
  <c r="U16" i="1"/>
  <c r="W16"/>
  <c r="U28"/>
  <c r="W28"/>
  <c r="U26"/>
  <c r="W26"/>
  <c r="U33" i="3"/>
  <c r="P35" i="2"/>
  <c r="N92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<sst xmlns="http://schemas.openxmlformats.org/spreadsheetml/2006/main" count="754" uniqueCount="373">
  <si>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</si>
  <si>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</si>
  <si>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</si>
  <si>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</si>
  <si>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</si>
  <si>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</si>
  <si>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</si>
  <si>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</si>
  <si>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</si>
  <si>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</si>
  <si>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</si>
  <si>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</si>
  <si>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</si>
  <si>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</si>
  <si>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</si>
  <si>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</si>
  <si>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</si>
  <si>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</si>
  <si>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</si>
  <si>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</si>
  <si>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</si>
  <si>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</si>
  <si>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</si>
  <si>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</si>
  <si>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</si>
  <si>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</si>
  <si>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</si>
  <si>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</si>
  <si>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</si>
  <si>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</si>
  <si>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</si>
  <si>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</si>
  <si>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</si>
  <si>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</si>
  <si>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</si>
  <si>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</si>
  <si>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</si>
  <si>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</si>
  <si>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</si>
  <si>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</si>
  <si>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</si>
  <si>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</si>
  <si>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</si>
  <si>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</si>
  <si>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</si>
  <si>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</si>
  <si>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</si>
  <si>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</si>
  <si>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</si>
  <si>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</si>
  <si>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</si>
  <si>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</si>
  <si>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</si>
  <si>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</si>
  <si>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</si>
  <si>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</si>
  <si>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</si>
  <si>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</si>
  <si>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</si>
  <si>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</si>
  <si>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</si>
  <si>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</si>
  <si>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</si>
  <si>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</si>
  <si>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</si>
  <si>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</si>
  <si>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</si>
  <si>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</si>
  <si>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</si>
  <si>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</si>
  <si>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</si>
  <si>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</si>
  <si>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</si>
  <si>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</si>
  <si>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</si>
  <si>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</si>
  <si>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</si>
  <si>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</si>
  <si>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</si>
  <si>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</si>
  <si>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</si>
  <si>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</si>
  <si>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</si>
  <si>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</si>
  <si>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</si>
  <si>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</si>
  <si>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</si>
  <si>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</si>
  <si>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</si>
  <si>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</si>
  <si>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</si>
  <si>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</si>
  <si>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</si>
  <si>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</si>
  <si>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</si>
  <si>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</si>
  <si>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</si>
  <si>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</si>
  <si>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</si>
  <si>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</si>
  <si>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</si>
  <si>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</si>
  <si>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</si>
  <si>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</si>
  <si>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</si>
  <si>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</si>
  <si>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</si>
  <si>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</si>
  <si>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</si>
  <si>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</si>
  <si>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</si>
  <si>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</si>
  <si>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</si>
  <si>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</si>
  <si>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</si>
  <si>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</si>
  <si>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</si>
  <si>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</si>
  <si>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</si>
  <si>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</si>
  <si>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</si>
  <si>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</si>
  <si>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</si>
  <si>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</si>
  <si>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</si>
  <si>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</si>
  <si>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</si>
  <si>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</si>
  <si>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</si>
  <si>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</si>
  <si>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</si>
  <si>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</si>
  <si>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</si>
  <si>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</si>
  <si>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</si>
  <si>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</si>
  <si>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</si>
  <si>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</si>
  <si>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</si>
  <si>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</si>
  <si>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</si>
  <si>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</si>
  <si>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</si>
  <si>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</si>
  <si>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</si>
  <si>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</si>
  <si>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</si>
  <si>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</si>
  <si>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</si>
  <si>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</si>
  <si>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</si>
  <si>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</si>
  <si>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</si>
  <si>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</si>
  <si>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</si>
  <si>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</si>
  <si>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</si>
  <si>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</si>
  <si>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</si>
  <si>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</si>
  <si>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</si>
  <si>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</si>
  <si>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</si>
  <si>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</si>
  <si>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</si>
  <si>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</si>
  <si>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</si>
  <si>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</si>
  <si>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</si>
  <si>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</si>
  <si>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</si>
  <si>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</si>
  <si>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</si>
  <si>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</si>
  <si>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</si>
  <si>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</si>
  <si>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</si>
  <si>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</si>
  <si>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</si>
  <si>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</si>
  <si>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</si>
  <si>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</si>
  <si>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</si>
  <si>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</si>
  <si>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</si>
  <si>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</si>
  <si>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</si>
  <si>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</si>
  <si>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</si>
  <si>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</si>
  <si>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</si>
  <si>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</si>
  <si>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</si>
  <si>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</si>
  <si>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</si>
  <si>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</si>
  <si>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</si>
  <si>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</si>
  <si>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</si>
  <si>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</si>
  <si>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</si>
  <si>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</si>
  <si>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</si>
  <si>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</si>
  <si>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</si>
  <si>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</si>
  <si>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</si>
  <si>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</si>
  <si>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</si>
  <si>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</si>
  <si>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</si>
  <si>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</si>
  <si>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</si>
  <si>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</si>
  <si>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</si>
  <si>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</si>
  <si>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</si>
  <si>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</si>
  <si>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</si>
  <si>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</si>
  <si>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</si>
  <si>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</si>
  <si>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</si>
  <si>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</si>
  <si>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</si>
  <si>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</si>
  <si>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</si>
  <si>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</si>
  <si>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</si>
  <si>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</si>
  <si>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</si>
  <si>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</si>
  <si>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</si>
  <si>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</si>
  <si>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</si>
  <si>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</si>
  <si>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</si>
  <si>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</si>
  <si>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</si>
  <si>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</si>
  <si>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</si>
  <si>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</si>
  <si>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</si>
  <si>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</si>
  <si>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</si>
  <si>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</si>
  <si>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</si>
  <si>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</si>
  <si>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</si>
  <si>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</si>
  <si>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</si>
  <si>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</si>
  <si>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</si>
  <si>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</si>
  <si>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</si>
  <si>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</si>
  <si>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</si>
  <si>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</si>
  <si>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</si>
  <si>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</si>
  <si>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</si>
  <si>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</si>
  <si>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</si>
  <si>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</si>
  <si>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</si>
  <si>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</si>
  <si>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</si>
  <si>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</si>
  <si>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</si>
  <si>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</si>
  <si>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</si>
  <si>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</si>
  <si>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</si>
  <si>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</si>
  <si>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</si>
  <si>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</si>
  <si>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</si>
  <si>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</si>
  <si>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</si>
  <si>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</si>
  <si>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</si>
  <si>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</si>
  <si>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</si>
  <si>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</si>
  <si>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</si>
  <si>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</si>
  <si>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</si>
  <si>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</si>
  <si>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</si>
  <si>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</si>
  <si>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</si>
  <si>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</si>
  <si>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</si>
  <si>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</si>
  <si>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</si>
  <si>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</si>
  <si>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</si>
  <si>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</si>
  <si>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</si>
  <si>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</si>
  <si>
    <t>Компенсация С2 на очистку угольного фильтра</t>
  </si>
  <si>
    <t>Компенсация С2 на завоз бактерий</t>
  </si>
  <si>
    <t>Россети технологическое присоединение</t>
  </si>
  <si>
    <t>шестеренка</t>
  </si>
  <si>
    <t>насос фекальный</t>
  </si>
  <si>
    <t>урны д/собачих площадок</t>
  </si>
  <si>
    <t>материалы для заливки катка</t>
  </si>
  <si>
    <t>рукав пожарный</t>
  </si>
  <si>
    <t>материалы д/калитки</t>
  </si>
  <si>
    <t>эл.магнитный замок</t>
  </si>
  <si>
    <t>лампы, эл.товары</t>
  </si>
  <si>
    <t>сальник</t>
  </si>
  <si>
    <t>герметизация приборов водоотведения</t>
  </si>
  <si>
    <t>автомат, кнопка звонка</t>
  </si>
  <si>
    <t>тепловентилятор</t>
  </si>
  <si>
    <t>д/ремонта роутера</t>
  </si>
  <si>
    <t>осаго трактор</t>
  </si>
  <si>
    <t>монтаж видеокамеры конт. Площ. На 2 кпп</t>
  </si>
  <si>
    <t>инф. Указатель</t>
  </si>
  <si>
    <t>анализ сточных вод</t>
  </si>
  <si>
    <t>водонагреватель для ОС</t>
  </si>
  <si>
    <t>оценка стоимости гозопровода</t>
  </si>
  <si>
    <t>кадастровые работы</t>
  </si>
  <si>
    <t>замок на спорт. Площ.</t>
  </si>
  <si>
    <t>д/шлагбаума</t>
  </si>
  <si>
    <t>д/ремонта тракторов</t>
  </si>
  <si>
    <t>подключение подогревателя сточных вод</t>
  </si>
  <si>
    <t>ремонт и утепление 3кпп</t>
  </si>
  <si>
    <t>замок на весеннюю</t>
  </si>
  <si>
    <t>ключи запасные то весенней</t>
  </si>
  <si>
    <t>покраска, сантехника, утепление</t>
  </si>
  <si>
    <t>канализ. В здании админ-ии</t>
  </si>
  <si>
    <t>утепление канал-ии</t>
  </si>
  <si>
    <t>д/смесителя охрана</t>
  </si>
  <si>
    <t>ВД-40</t>
  </si>
  <si>
    <t>сварочный аппарат</t>
  </si>
  <si>
    <t>эл. Котел</t>
  </si>
  <si>
    <t>светильник д/охраны</t>
  </si>
  <si>
    <t>лампы ул. Освещения</t>
  </si>
  <si>
    <t>уличн. Освещение</t>
  </si>
  <si>
    <t>подключение подогревателя</t>
  </si>
  <si>
    <t>кнопка звонка</t>
  </si>
  <si>
    <t>врезной замок</t>
  </si>
  <si>
    <t>защелка на 3 кпп</t>
  </si>
  <si>
    <t>"быстрый запуск"</t>
  </si>
  <si>
    <t>переходник д/котла</t>
  </si>
  <si>
    <t>герметик</t>
  </si>
  <si>
    <t>мешки д/мусора, фильтр д/воды</t>
  </si>
  <si>
    <t>ремонт корпуса откач. Насоса</t>
  </si>
  <si>
    <t>веревка</t>
  </si>
  <si>
    <t>шины д/трактора</t>
  </si>
  <si>
    <t>сцепление д/трактора</t>
  </si>
  <si>
    <t>обучение электрика</t>
  </si>
  <si>
    <t>батарейки, календарь</t>
  </si>
  <si>
    <t>д/трактора шайбы, гайки</t>
  </si>
  <si>
    <t>краска для каркаса</t>
  </si>
  <si>
    <t>мешки д/мусора</t>
  </si>
  <si>
    <t>металл для каркаса</t>
  </si>
  <si>
    <t>саморезы</t>
  </si>
  <si>
    <t>пружина</t>
  </si>
  <si>
    <t>светильник</t>
  </si>
  <si>
    <t>Исполнение финансового плана ТСН "КП "Согласие" за июнь 2022 - март 2023</t>
  </si>
  <si>
    <t>ОСАГО Ларгус</t>
  </si>
  <si>
    <t>Компенсация С2 на материалы для ОС</t>
  </si>
  <si>
    <t>Компенсация 50% штрафа</t>
  </si>
  <si>
    <t>Плата за предоставление сведений из ЕГРН</t>
  </si>
  <si>
    <t>З/ч для трактора</t>
  </si>
  <si>
    <t>бытовые товары</t>
  </si>
  <si>
    <t>отпугиватель для собак</t>
  </si>
  <si>
    <t>подшипники</t>
  </si>
  <si>
    <t>флешка</t>
  </si>
  <si>
    <t>насос для перекачки топлива</t>
  </si>
  <si>
    <t>ремонт компьютеров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</si>
</sst>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5" xfId="2" applyNumberFormat="1" applyFont="1" applyBorder="1" applyAlignment="1">
      <alignment horizontal="center"/>
    </xf>
    <xf numFmtId="164" fontId="34" fillId="0" borderId="13" xfId="2" applyNumberFormat="1" applyFont="1" applyBorder="1" applyAlignment="1">
      <alignment horizontal="center"/>
    </xf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49" t="s">
        <v>1</v>
      </c>
      <c r="B3" s="350"/>
      <c r="C3" s="350"/>
      <c r="D3" s="350"/>
      <c r="E3" s="351"/>
      <c r="F3" s="332" t="s">
        <v>2</v>
      </c>
      <c r="G3" s="332" t="s">
        <v>2</v>
      </c>
      <c r="H3" s="10" t="s">
        <v>3</v>
      </c>
      <c r="I3" s="330" t="s">
        <v>4</v>
      </c>
      <c r="J3" s="330" t="s">
        <v>5</v>
      </c>
      <c r="K3" s="330" t="s">
        <v>6</v>
      </c>
      <c r="L3" s="330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32" t="s">
        <v>10</v>
      </c>
      <c r="V3" s="332" t="s">
        <v>11</v>
      </c>
      <c r="W3" s="342" t="s">
        <v>12</v>
      </c>
    </row>
    <row r="4" spans="1:23" ht="0.75" customHeight="1">
      <c r="A4" s="13"/>
      <c r="B4" s="14"/>
      <c r="C4" s="14"/>
      <c r="D4" s="14"/>
      <c r="E4" s="14"/>
      <c r="F4" s="333"/>
      <c r="G4" s="333"/>
      <c r="H4" s="15" t="s">
        <v>13</v>
      </c>
      <c r="I4" s="331"/>
      <c r="J4" s="331"/>
      <c r="K4" s="331"/>
      <c r="L4" s="331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3"/>
      <c r="V4" s="341"/>
      <c r="W4" s="343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44" t="s">
        <v>25</v>
      </c>
      <c r="B10" s="345"/>
      <c r="C10" s="345"/>
      <c r="D10" s="345"/>
      <c r="E10" s="346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47" t="s">
        <v>26</v>
      </c>
      <c r="B11" s="348"/>
      <c r="C11" s="348"/>
      <c r="D11" s="348"/>
      <c r="E11" s="348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расходы'!B83</f>
        <v>0</v>
      </c>
      <c r="J12" s="73">
        <f ca="1">'общехоз расходы'!C83</f>
        <v>0</v>
      </c>
      <c r="K12" s="73">
        <f ca="1">'общехоз расходы'!D83</f>
        <v>0</v>
      </c>
      <c r="L12" s="73">
        <f ca="1">'общехоз расходы'!E83</f>
        <v>0</v>
      </c>
      <c r="M12" s="73">
        <f ca="1">'общехоз расходы'!F83</f>
        <v>0</v>
      </c>
      <c r="N12" s="73">
        <f ca="1">'общехоз расходы'!G83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179064.23</v>
      </c>
      <c r="N26" s="73">
        <f ca="1">электроснабжение!G46</f>
        <v>100748.04999999999</v>
      </c>
      <c r="O26" s="27"/>
      <c r="P26" s="27"/>
      <c r="Q26" s="27"/>
      <c r="R26" s="27"/>
      <c r="S26" s="28"/>
      <c r="T26" s="28"/>
      <c r="U26" s="29">
        <f t="shared" si="0"/>
        <v>645366.58000000007</v>
      </c>
      <c r="V26" s="30">
        <f t="shared" si="3"/>
        <v>900000</v>
      </c>
      <c r="W26" s="74">
        <f t="shared" si="4"/>
        <v>254633.41999999993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дорог'!B45</f>
        <v>7978</v>
      </c>
      <c r="J28" s="73">
        <f ca="1">'содерж дорог'!C45</f>
        <v>33350</v>
      </c>
      <c r="K28" s="73">
        <f ca="1">'содерж дорог'!D45</f>
        <v>1300</v>
      </c>
      <c r="L28" s="73">
        <f ca="1">'содерж дорог'!E45</f>
        <v>0</v>
      </c>
      <c r="M28" s="73">
        <f ca="1">'содерж дорог'!F45</f>
        <v>111865</v>
      </c>
      <c r="N28" s="73">
        <f ca="1">'содерж дорог'!G45</f>
        <v>32420</v>
      </c>
      <c r="O28" s="27"/>
      <c r="P28" s="27"/>
      <c r="Q28" s="27"/>
      <c r="R28" s="27"/>
      <c r="S28" s="28"/>
      <c r="T28" s="28"/>
      <c r="U28" s="29">
        <f t="shared" si="0"/>
        <v>186913</v>
      </c>
      <c r="V28" s="30">
        <f t="shared" si="3"/>
        <v>300000</v>
      </c>
      <c r="W28" s="74">
        <f t="shared" si="4"/>
        <v>113087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309560</v>
      </c>
      <c r="M31" s="83">
        <f ca="1">'резервный фонд'!F66</f>
        <v>257215</v>
      </c>
      <c r="N31" s="83">
        <f ca="1">'резервный фонд'!G66</f>
        <v>78000</v>
      </c>
      <c r="O31" s="51"/>
      <c r="P31" s="51"/>
      <c r="Q31" s="51"/>
      <c r="R31" s="51"/>
      <c r="S31" s="84"/>
      <c r="T31" s="84"/>
      <c r="U31" s="53">
        <f t="shared" si="0"/>
        <v>1114783</v>
      </c>
      <c r="V31" s="30">
        <f t="shared" si="3"/>
        <v>736900</v>
      </c>
      <c r="W31" s="85">
        <f t="shared" si="4"/>
        <v>-377883</v>
      </c>
      <c r="X31" s="86"/>
    </row>
    <row r="32" spans="1:24" ht="15.75">
      <c r="A32" s="334" t="s">
        <v>48</v>
      </c>
      <c r="B32" s="335"/>
      <c r="C32" s="335"/>
      <c r="D32" s="335"/>
      <c r="E32" s="336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37" t="s">
        <v>49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91"/>
      <c r="W34" s="91"/>
    </row>
    <row r="35" spans="1:23">
      <c r="A35" s="338" t="s">
        <v>50</v>
      </c>
      <c r="B35" s="339"/>
      <c r="C35" s="339"/>
      <c r="D35" s="339"/>
      <c r="E35" s="339"/>
      <c r="F35" s="340"/>
      <c r="G35" s="340"/>
      <c r="H35" s="339"/>
      <c r="I35" s="340"/>
      <c r="J35" s="340"/>
      <c r="K35" s="340"/>
      <c r="L35" s="339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21" t="s">
        <v>51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3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24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6"/>
      <c r="V38" s="91"/>
      <c r="W38" s="91"/>
    </row>
    <row r="39" spans="1:23">
      <c r="A39" s="327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9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K5" sqref="K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>
        <v>600000</v>
      </c>
      <c r="I4" s="193">
        <v>600000</v>
      </c>
      <c r="J4" s="193">
        <v>600000</v>
      </c>
      <c r="K4" s="193">
        <v>600000</v>
      </c>
      <c r="L4" s="193"/>
      <c r="M4" s="193"/>
      <c r="N4" s="243">
        <f>SUM(B4:M4)</f>
        <v>5900000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600000</v>
      </c>
      <c r="I7" s="263">
        <f t="shared" si="0"/>
        <v>600000</v>
      </c>
      <c r="J7" s="263">
        <f t="shared" si="0"/>
        <v>600000</v>
      </c>
      <c r="K7" s="263">
        <f t="shared" si="0"/>
        <v>600000</v>
      </c>
      <c r="L7" s="263">
        <f t="shared" si="0"/>
        <v>0</v>
      </c>
      <c r="M7" s="263">
        <f t="shared" si="0"/>
        <v>0</v>
      </c>
      <c r="N7" s="263">
        <f>SUM(N4:N6)</f>
        <v>5900000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K6" sqref="K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>
        <v>861000</v>
      </c>
      <c r="H3" s="245">
        <v>411000</v>
      </c>
      <c r="I3" s="245">
        <v>280000</v>
      </c>
      <c r="J3" s="245">
        <v>265000</v>
      </c>
      <c r="K3" s="245">
        <v>240000</v>
      </c>
      <c r="L3" s="245"/>
      <c r="M3" s="245"/>
      <c r="N3" s="245">
        <f t="shared" ref="N3:N9" si="0">SUM(B3:M3)</f>
        <v>4127000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>
        <v>34911.97</v>
      </c>
      <c r="H5" s="245">
        <v>34911.97</v>
      </c>
      <c r="I5" s="245">
        <v>37711.300000000003</v>
      </c>
      <c r="J5" s="245">
        <v>35017.629999999997</v>
      </c>
      <c r="K5" s="245">
        <v>32323.97</v>
      </c>
      <c r="L5" s="245"/>
      <c r="M5" s="245"/>
      <c r="N5" s="245">
        <f t="shared" si="0"/>
        <v>346667.23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445911.97</v>
      </c>
      <c r="I10" s="263">
        <f t="shared" si="1"/>
        <v>317711.3</v>
      </c>
      <c r="J10" s="263">
        <f t="shared" si="1"/>
        <v>300017.63</v>
      </c>
      <c r="K10" s="263">
        <f t="shared" si="1"/>
        <v>272323.96999999997</v>
      </c>
      <c r="L10" s="263">
        <f t="shared" si="1"/>
        <v>0</v>
      </c>
      <c r="M10" s="263">
        <f t="shared" si="1"/>
        <v>0</v>
      </c>
      <c r="N10" s="263">
        <f t="shared" si="1"/>
        <v>4858834.7700000005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J13" sqref="J13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>
        <v>15075</v>
      </c>
      <c r="J3" s="219"/>
      <c r="K3" s="219"/>
      <c r="L3" s="219"/>
      <c r="M3" s="219"/>
      <c r="N3" s="245">
        <f t="shared" ref="N3:N30" si="0">SUM(B3:M3)</f>
        <v>71031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296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 t="s">
        <v>312</v>
      </c>
      <c r="B11" s="229"/>
      <c r="C11" s="229"/>
      <c r="D11" s="245"/>
      <c r="E11" s="229"/>
      <c r="F11" s="229"/>
      <c r="G11" s="245"/>
      <c r="H11" s="245">
        <v>641</v>
      </c>
      <c r="I11" s="245"/>
      <c r="J11" s="245"/>
      <c r="K11" s="245"/>
      <c r="L11" s="245"/>
      <c r="M11" s="245"/>
      <c r="N11" s="245">
        <f t="shared" si="0"/>
        <v>641</v>
      </c>
    </row>
    <row r="12" spans="1:14">
      <c r="A12" s="256" t="s">
        <v>333</v>
      </c>
      <c r="B12" s="245"/>
      <c r="C12" s="245"/>
      <c r="D12" s="243"/>
      <c r="E12" s="244"/>
      <c r="F12" s="245"/>
      <c r="G12" s="245"/>
      <c r="H12" s="245"/>
      <c r="I12" s="245">
        <v>350</v>
      </c>
      <c r="J12" s="245"/>
      <c r="K12" s="245"/>
      <c r="L12" s="245"/>
      <c r="M12" s="245"/>
      <c r="N12" s="245">
        <f t="shared" si="0"/>
        <v>350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641</v>
      </c>
      <c r="I31" s="247">
        <f t="shared" si="1"/>
        <v>15425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125222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4"/>
  <sheetViews>
    <sheetView workbookViewId="0">
      <selection activeCell="L27" sqref="L27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/>
      <c r="M3" s="245"/>
      <c r="N3" s="245">
        <f t="shared" ref="N3:N18" si="0">SUM(B3:M3)</f>
        <v>6500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>
        <f>16300</f>
        <v>16300</v>
      </c>
      <c r="I4" s="193">
        <v>16300</v>
      </c>
      <c r="J4" s="193"/>
      <c r="K4" s="193">
        <v>16300</v>
      </c>
      <c r="L4" s="193"/>
      <c r="M4" s="245"/>
      <c r="N4" s="245">
        <f t="shared" si="0"/>
        <v>179300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>
        <v>6660</v>
      </c>
      <c r="I6" s="245"/>
      <c r="J6" s="245"/>
      <c r="K6" s="245">
        <v>12210</v>
      </c>
      <c r="L6" s="245"/>
      <c r="M6" s="245"/>
      <c r="N6" s="245">
        <f t="shared" si="0"/>
        <v>30000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8850</v>
      </c>
    </row>
    <row r="8" spans="1:14">
      <c r="A8" s="262" t="s">
        <v>300</v>
      </c>
      <c r="B8" s="245"/>
      <c r="C8" s="229"/>
      <c r="D8" s="245"/>
      <c r="E8" s="245"/>
      <c r="F8" s="229"/>
      <c r="G8" s="229"/>
      <c r="H8" s="245">
        <v>8150</v>
      </c>
      <c r="I8" s="245"/>
      <c r="J8" s="245"/>
      <c r="K8" s="245"/>
      <c r="L8" s="245"/>
      <c r="M8" s="245"/>
      <c r="N8" s="245">
        <f t="shared" si="0"/>
        <v>8150</v>
      </c>
    </row>
    <row r="9" spans="1:14">
      <c r="A9" s="262" t="s">
        <v>301</v>
      </c>
      <c r="B9" s="245"/>
      <c r="C9" s="229"/>
      <c r="D9" s="245"/>
      <c r="E9" s="245"/>
      <c r="F9" s="229"/>
      <c r="G9" s="229"/>
      <c r="H9" s="245">
        <v>8150</v>
      </c>
      <c r="I9" s="245"/>
      <c r="J9" s="245"/>
      <c r="K9" s="245"/>
      <c r="L9" s="245"/>
      <c r="M9" s="245"/>
      <c r="N9" s="245">
        <f>SUM(B9:M9)</f>
        <v>8150</v>
      </c>
    </row>
    <row r="10" spans="1:14">
      <c r="A10" s="262" t="s">
        <v>363</v>
      </c>
      <c r="B10" s="245"/>
      <c r="C10" s="229"/>
      <c r="D10" s="245"/>
      <c r="E10" s="245"/>
      <c r="F10" s="229"/>
      <c r="G10" s="229"/>
      <c r="H10" s="245"/>
      <c r="I10" s="245"/>
      <c r="J10" s="245"/>
      <c r="K10" s="245">
        <v>3700</v>
      </c>
      <c r="L10" s="245"/>
      <c r="M10" s="245"/>
      <c r="N10" s="245">
        <f>SUM(B10:M10)</f>
        <v>3700</v>
      </c>
    </row>
    <row r="11" spans="1:14">
      <c r="A11" s="262" t="s">
        <v>364</v>
      </c>
      <c r="B11" s="245"/>
      <c r="C11" s="229"/>
      <c r="D11" s="245"/>
      <c r="E11" s="245"/>
      <c r="F11" s="229"/>
      <c r="G11" s="229"/>
      <c r="H11" s="245"/>
      <c r="I11" s="245"/>
      <c r="J11" s="245"/>
      <c r="K11" s="245">
        <v>50000</v>
      </c>
      <c r="L11" s="245"/>
      <c r="M11" s="245"/>
      <c r="N11" s="245">
        <f>SUM(B11:M11)</f>
        <v>50000</v>
      </c>
    </row>
    <row r="12" spans="1:14">
      <c r="A12" s="262" t="s">
        <v>217</v>
      </c>
      <c r="B12" s="245"/>
      <c r="C12" s="229"/>
      <c r="D12" s="245">
        <v>325</v>
      </c>
      <c r="E12" s="245"/>
      <c r="F12" s="229"/>
      <c r="G12" s="229"/>
      <c r="H12" s="245"/>
      <c r="I12" s="245"/>
      <c r="J12" s="245"/>
      <c r="K12" s="245"/>
      <c r="L12" s="245"/>
      <c r="M12" s="245"/>
      <c r="N12" s="245">
        <f>SUM(B12:M12)</f>
        <v>325</v>
      </c>
    </row>
    <row r="13" spans="1:14">
      <c r="A13" s="262" t="s">
        <v>224</v>
      </c>
      <c r="B13" s="245"/>
      <c r="C13" s="229"/>
      <c r="D13" s="245">
        <f>4725+4725</f>
        <v>9450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9450</v>
      </c>
    </row>
    <row r="14" spans="1:14">
      <c r="A14" s="262" t="s">
        <v>236</v>
      </c>
      <c r="B14" s="245"/>
      <c r="C14" s="229"/>
      <c r="D14" s="245"/>
      <c r="E14" s="245">
        <v>16247</v>
      </c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16247</v>
      </c>
    </row>
    <row r="15" spans="1:14">
      <c r="A15" s="262" t="s">
        <v>246</v>
      </c>
      <c r="B15" s="245"/>
      <c r="C15" s="229"/>
      <c r="D15" s="245"/>
      <c r="E15" s="245">
        <v>150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150</v>
      </c>
    </row>
    <row r="16" spans="1:14">
      <c r="A16" s="262" t="s">
        <v>247</v>
      </c>
      <c r="B16" s="245"/>
      <c r="C16" s="229"/>
      <c r="D16" s="245"/>
      <c r="E16" s="245">
        <v>550</v>
      </c>
      <c r="F16" s="229"/>
      <c r="G16" s="229"/>
      <c r="H16" s="245"/>
      <c r="I16" s="245"/>
      <c r="J16" s="245"/>
      <c r="K16" s="245"/>
      <c r="L16" s="245"/>
      <c r="M16" s="245"/>
      <c r="N16" s="245">
        <f t="shared" si="0"/>
        <v>550</v>
      </c>
    </row>
    <row r="17" spans="1:14">
      <c r="A17" s="262" t="s">
        <v>248</v>
      </c>
      <c r="B17" s="245"/>
      <c r="C17" s="229"/>
      <c r="D17" s="245"/>
      <c r="E17" s="245">
        <v>100</v>
      </c>
      <c r="F17" s="229"/>
      <c r="G17" s="229"/>
      <c r="H17" s="245"/>
      <c r="I17" s="245"/>
      <c r="J17" s="245"/>
      <c r="K17" s="245"/>
      <c r="L17" s="245"/>
      <c r="M17" s="245"/>
      <c r="N17" s="245">
        <f t="shared" si="0"/>
        <v>100</v>
      </c>
    </row>
    <row r="18" spans="1:14">
      <c r="A18" s="273" t="s">
        <v>159</v>
      </c>
      <c r="B18" s="229"/>
      <c r="C18" s="245"/>
      <c r="D18" s="245"/>
      <c r="E18" s="245">
        <v>50</v>
      </c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50</v>
      </c>
    </row>
    <row r="19" spans="1:14">
      <c r="A19" s="262" t="s">
        <v>249</v>
      </c>
      <c r="B19" s="245"/>
      <c r="C19" s="229"/>
      <c r="D19" s="245"/>
      <c r="E19" s="245">
        <v>140</v>
      </c>
      <c r="F19" s="229"/>
      <c r="G19" s="229"/>
      <c r="H19" s="245"/>
      <c r="I19" s="245"/>
      <c r="J19" s="245"/>
      <c r="K19" s="245"/>
      <c r="L19" s="245"/>
      <c r="M19" s="245"/>
      <c r="N19" s="245">
        <f t="shared" ref="N19:N31" si="1">SUM(B19:M19)</f>
        <v>140</v>
      </c>
    </row>
    <row r="20" spans="1:14">
      <c r="A20" s="262" t="s">
        <v>247</v>
      </c>
      <c r="B20" s="245"/>
      <c r="C20" s="229"/>
      <c r="D20" s="245"/>
      <c r="E20" s="245">
        <v>150</v>
      </c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150</v>
      </c>
    </row>
    <row r="21" spans="1:14">
      <c r="A21" s="262" t="s">
        <v>277</v>
      </c>
      <c r="B21" s="245"/>
      <c r="C21" s="229"/>
      <c r="D21" s="245"/>
      <c r="E21" s="245"/>
      <c r="F21" s="229"/>
      <c r="G21" s="229">
        <v>29366.400000000001</v>
      </c>
      <c r="H21" s="245"/>
      <c r="I21" s="245"/>
      <c r="J21" s="245"/>
      <c r="K21" s="245"/>
      <c r="L21" s="245"/>
      <c r="M21" s="245"/>
      <c r="N21" s="245">
        <f t="shared" si="1"/>
        <v>29366.400000000001</v>
      </c>
    </row>
    <row r="22" spans="1:14">
      <c r="A22" s="262" t="s">
        <v>319</v>
      </c>
      <c r="B22" s="245"/>
      <c r="C22" s="229"/>
      <c r="D22" s="245"/>
      <c r="E22" s="245"/>
      <c r="F22" s="229"/>
      <c r="G22" s="229"/>
      <c r="H22" s="245"/>
      <c r="I22" s="245">
        <f>11130+4470</f>
        <v>15600</v>
      </c>
      <c r="J22" s="245"/>
      <c r="K22" s="245"/>
      <c r="L22" s="245"/>
      <c r="M22" s="245"/>
      <c r="N22" s="245">
        <f t="shared" si="1"/>
        <v>15600</v>
      </c>
    </row>
    <row r="23" spans="1:14">
      <c r="A23" s="262" t="s">
        <v>320</v>
      </c>
      <c r="B23" s="245"/>
      <c r="C23" s="229"/>
      <c r="D23" s="245"/>
      <c r="E23" s="245"/>
      <c r="F23" s="229"/>
      <c r="G23" s="229"/>
      <c r="H23" s="245"/>
      <c r="I23" s="245">
        <v>6930</v>
      </c>
      <c r="J23" s="245"/>
      <c r="K23" s="245"/>
      <c r="L23" s="245"/>
      <c r="M23" s="245"/>
      <c r="N23" s="245">
        <f t="shared" si="1"/>
        <v>6930</v>
      </c>
    </row>
    <row r="24" spans="1:14">
      <c r="A24" s="262" t="s">
        <v>331</v>
      </c>
      <c r="B24" s="245"/>
      <c r="C24" s="229"/>
      <c r="D24" s="245"/>
      <c r="E24" s="245"/>
      <c r="F24" s="229"/>
      <c r="G24" s="229"/>
      <c r="H24" s="245"/>
      <c r="I24" s="245">
        <v>900</v>
      </c>
      <c r="J24" s="245"/>
      <c r="K24" s="245"/>
      <c r="L24" s="245"/>
      <c r="M24" s="245"/>
      <c r="N24" s="245">
        <f t="shared" si="1"/>
        <v>900</v>
      </c>
    </row>
    <row r="25" spans="1:14">
      <c r="A25" s="262" t="s">
        <v>332</v>
      </c>
      <c r="B25" s="245"/>
      <c r="C25" s="229"/>
      <c r="D25" s="245"/>
      <c r="E25" s="245"/>
      <c r="F25" s="229"/>
      <c r="G25" s="229"/>
      <c r="H25" s="245"/>
      <c r="I25" s="245">
        <v>2756</v>
      </c>
      <c r="J25" s="245"/>
      <c r="K25" s="245"/>
      <c r="L25" s="245"/>
      <c r="M25" s="245"/>
      <c r="N25" s="245">
        <f t="shared" si="1"/>
        <v>2756</v>
      </c>
    </row>
    <row r="26" spans="1:14">
      <c r="A26" s="262" t="s">
        <v>369</v>
      </c>
      <c r="B26" s="245"/>
      <c r="C26" s="229"/>
      <c r="D26" s="245"/>
      <c r="E26" s="245"/>
      <c r="F26" s="229"/>
      <c r="G26" s="229"/>
      <c r="H26" s="245"/>
      <c r="I26" s="245"/>
      <c r="J26" s="245"/>
      <c r="K26" s="245">
        <v>960</v>
      </c>
      <c r="L26" s="245"/>
      <c r="M26" s="245"/>
      <c r="N26" s="245">
        <f t="shared" si="1"/>
        <v>960</v>
      </c>
    </row>
    <row r="27" spans="1:14">
      <c r="A27" s="262"/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62"/>
      <c r="B28" s="245"/>
      <c r="C28" s="229"/>
      <c r="D28" s="245"/>
      <c r="E28" s="245"/>
      <c r="F28" s="229"/>
      <c r="G28" s="229"/>
      <c r="H28" s="245"/>
      <c r="I28" s="245"/>
      <c r="J28" s="245"/>
      <c r="K28" s="245"/>
      <c r="L28" s="245"/>
      <c r="M28" s="245"/>
      <c r="N28" s="245">
        <f t="shared" si="1"/>
        <v>0</v>
      </c>
    </row>
    <row r="29" spans="1:14">
      <c r="A29" s="262"/>
      <c r="B29" s="245"/>
      <c r="C29" s="229"/>
      <c r="D29" s="245"/>
      <c r="E29" s="245"/>
      <c r="F29" s="229"/>
      <c r="G29" s="229"/>
      <c r="H29" s="245"/>
      <c r="I29" s="245"/>
      <c r="J29" s="245"/>
      <c r="K29" s="245"/>
      <c r="L29" s="245"/>
      <c r="M29" s="245"/>
      <c r="N29" s="245">
        <f t="shared" si="1"/>
        <v>0</v>
      </c>
    </row>
    <row r="30" spans="1:14">
      <c r="A30" s="262"/>
      <c r="B30" s="245"/>
      <c r="C30" s="229"/>
      <c r="D30" s="245"/>
      <c r="E30" s="245"/>
      <c r="F30" s="229"/>
      <c r="G30" s="229"/>
      <c r="H30" s="245"/>
      <c r="I30" s="245"/>
      <c r="J30" s="245"/>
      <c r="K30" s="245"/>
      <c r="L30" s="245"/>
      <c r="M30" s="245"/>
      <c r="N30" s="245">
        <f t="shared" si="1"/>
        <v>0</v>
      </c>
    </row>
    <row r="31" spans="1:14">
      <c r="A31" s="262" t="s">
        <v>148</v>
      </c>
      <c r="B31" s="245"/>
      <c r="C31" s="229"/>
      <c r="D31" s="245"/>
      <c r="E31" s="245"/>
      <c r="F31" s="229"/>
      <c r="G31" s="229"/>
      <c r="H31" s="245"/>
      <c r="I31" s="245"/>
      <c r="J31" s="245">
        <v>-13418.5</v>
      </c>
      <c r="K31" s="245"/>
      <c r="L31" s="245"/>
      <c r="M31" s="245"/>
      <c r="N31" s="245">
        <f t="shared" si="1"/>
        <v>-13418.5</v>
      </c>
    </row>
    <row r="32" spans="1:14">
      <c r="A32" s="249" t="s">
        <v>104</v>
      </c>
      <c r="B32" s="263">
        <f t="shared" ref="B32:N32" si="2">SUM(B3:B31)</f>
        <v>18700</v>
      </c>
      <c r="C32" s="247">
        <f t="shared" si="2"/>
        <v>43730</v>
      </c>
      <c r="D32" s="263">
        <f t="shared" si="2"/>
        <v>51225</v>
      </c>
      <c r="E32" s="263">
        <f t="shared" si="2"/>
        <v>33687</v>
      </c>
      <c r="F32" s="263">
        <f t="shared" si="2"/>
        <v>16300</v>
      </c>
      <c r="G32" s="263">
        <f t="shared" si="2"/>
        <v>50166.400000000001</v>
      </c>
      <c r="H32" s="263">
        <f t="shared" si="2"/>
        <v>39260</v>
      </c>
      <c r="I32" s="263">
        <f t="shared" si="2"/>
        <v>42486</v>
      </c>
      <c r="J32" s="263">
        <f t="shared" si="2"/>
        <v>-13418.5</v>
      </c>
      <c r="K32" s="263">
        <f t="shared" si="2"/>
        <v>83170</v>
      </c>
      <c r="L32" s="263">
        <f t="shared" si="2"/>
        <v>0</v>
      </c>
      <c r="M32" s="263">
        <f t="shared" si="2"/>
        <v>0</v>
      </c>
      <c r="N32" s="263">
        <f t="shared" si="2"/>
        <v>365305.9</v>
      </c>
    </row>
    <row r="34" spans="14:14">
      <c r="N34" s="255">
        <f>SUM(B32:M32)-N32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topLeftCell="C1" workbookViewId="0">
      <selection activeCell="K5" sqref="K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318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319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89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>
        <v>198656.65</v>
      </c>
      <c r="I4" s="245">
        <v>203007.64</v>
      </c>
      <c r="J4" s="245">
        <v>213206.51</v>
      </c>
      <c r="K4" s="245">
        <v>185424.47</v>
      </c>
      <c r="L4" s="245"/>
      <c r="M4" s="245"/>
      <c r="N4" s="289">
        <f t="shared" ref="N4:N9" si="0">SUM(B4:M4)</f>
        <v>1459705.29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>
        <f>-11221.34</f>
        <v>-11221.34</v>
      </c>
      <c r="I5" s="245">
        <f>-2975-7140-9226.52</f>
        <v>-19341.52</v>
      </c>
      <c r="J5" s="245">
        <f>-4405-11002.81</f>
        <v>-15407.81</v>
      </c>
      <c r="K5" s="245">
        <f>-2025-2380-11383.63</f>
        <v>-15788.63</v>
      </c>
      <c r="L5" s="245"/>
      <c r="M5" s="245"/>
      <c r="N5" s="289">
        <f t="shared" si="0"/>
        <v>-162473.71999999997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89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7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87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87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87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89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89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89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89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89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89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89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89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89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89">
        <f t="shared" si="1"/>
        <v>400</v>
      </c>
    </row>
    <row r="21" spans="1:14">
      <c r="A21" s="256" t="s">
        <v>266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89">
        <f t="shared" si="1"/>
        <v>699.98</v>
      </c>
    </row>
    <row r="22" spans="1:14">
      <c r="A22" s="256" t="s">
        <v>278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89">
        <f t="shared" si="1"/>
        <v>12000</v>
      </c>
    </row>
    <row r="23" spans="1:14">
      <c r="A23" s="256" t="s">
        <v>279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89">
        <f t="shared" si="1"/>
        <v>30000</v>
      </c>
    </row>
    <row r="24" spans="1:14">
      <c r="A24" s="256" t="s">
        <v>286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89">
        <f t="shared" si="1"/>
        <v>470</v>
      </c>
    </row>
    <row r="25" spans="1:14">
      <c r="A25" s="256" t="s">
        <v>291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89">
        <f t="shared" si="1"/>
        <v>5250</v>
      </c>
    </row>
    <row r="26" spans="1:14">
      <c r="A26" s="256" t="s">
        <v>219</v>
      </c>
      <c r="B26" s="245"/>
      <c r="C26" s="245"/>
      <c r="D26" s="245"/>
      <c r="E26" s="245"/>
      <c r="F26" s="245"/>
      <c r="G26" s="245"/>
      <c r="H26" s="245">
        <v>2680</v>
      </c>
      <c r="I26" s="245"/>
      <c r="J26" s="245"/>
      <c r="K26" s="245"/>
      <c r="L26" s="245"/>
      <c r="M26" s="245"/>
      <c r="N26" s="289">
        <f t="shared" si="1"/>
        <v>2680</v>
      </c>
    </row>
    <row r="27" spans="1:14">
      <c r="A27" s="256" t="s">
        <v>310</v>
      </c>
      <c r="B27" s="245"/>
      <c r="C27" s="245"/>
      <c r="D27" s="245"/>
      <c r="E27" s="245"/>
      <c r="F27" s="245"/>
      <c r="G27" s="245"/>
      <c r="H27" s="245">
        <f>646.4+4338</f>
        <v>4984.3999999999996</v>
      </c>
      <c r="I27" s="245"/>
      <c r="J27" s="245"/>
      <c r="K27" s="245"/>
      <c r="L27" s="245"/>
      <c r="M27" s="245"/>
      <c r="N27" s="289">
        <f t="shared" si="1"/>
        <v>4984.3999999999996</v>
      </c>
    </row>
    <row r="28" spans="1:14">
      <c r="A28" s="256" t="s">
        <v>313</v>
      </c>
      <c r="B28" s="245"/>
      <c r="C28" s="245"/>
      <c r="D28" s="245"/>
      <c r="E28" s="245"/>
      <c r="F28" s="245"/>
      <c r="G28" s="245"/>
      <c r="H28" s="245">
        <f>278+226+2.4</f>
        <v>506.4</v>
      </c>
      <c r="I28" s="245"/>
      <c r="J28" s="245"/>
      <c r="K28" s="245"/>
      <c r="L28" s="245"/>
      <c r="M28" s="245"/>
      <c r="N28" s="289">
        <f t="shared" si="1"/>
        <v>506.4</v>
      </c>
    </row>
    <row r="29" spans="1:14">
      <c r="A29" s="256" t="s">
        <v>324</v>
      </c>
      <c r="B29" s="245"/>
      <c r="C29" s="245"/>
      <c r="D29" s="245"/>
      <c r="E29" s="245"/>
      <c r="F29" s="245"/>
      <c r="G29" s="245"/>
      <c r="H29" s="245"/>
      <c r="I29" s="245">
        <v>452</v>
      </c>
      <c r="J29" s="245"/>
      <c r="K29" s="245"/>
      <c r="L29" s="245"/>
      <c r="M29" s="245"/>
      <c r="N29" s="289">
        <f t="shared" si="1"/>
        <v>452</v>
      </c>
    </row>
    <row r="30" spans="1:14">
      <c r="A30" s="256" t="s">
        <v>337</v>
      </c>
      <c r="B30" s="245"/>
      <c r="C30" s="245"/>
      <c r="D30" s="245"/>
      <c r="E30" s="245"/>
      <c r="F30" s="245"/>
      <c r="G30" s="245"/>
      <c r="H30" s="245"/>
      <c r="I30" s="245">
        <v>2160</v>
      </c>
      <c r="J30" s="245"/>
      <c r="K30" s="245"/>
      <c r="L30" s="245"/>
      <c r="M30" s="245"/>
      <c r="N30" s="289">
        <f t="shared" si="1"/>
        <v>2160</v>
      </c>
    </row>
    <row r="31" spans="1:14">
      <c r="A31" s="256" t="s">
        <v>338</v>
      </c>
      <c r="B31" s="245"/>
      <c r="C31" s="245"/>
      <c r="D31" s="245"/>
      <c r="E31" s="245"/>
      <c r="F31" s="245"/>
      <c r="G31" s="245"/>
      <c r="H31" s="245"/>
      <c r="I31" s="245">
        <v>2520</v>
      </c>
      <c r="J31" s="245"/>
      <c r="K31" s="245"/>
      <c r="L31" s="245"/>
      <c r="M31" s="245"/>
      <c r="N31" s="289">
        <f t="shared" si="1"/>
        <v>2520</v>
      </c>
    </row>
    <row r="32" spans="1:14">
      <c r="A32" s="256" t="s">
        <v>314</v>
      </c>
      <c r="B32" s="245"/>
      <c r="C32" s="245"/>
      <c r="D32" s="245"/>
      <c r="E32" s="245"/>
      <c r="F32" s="245"/>
      <c r="G32" s="245"/>
      <c r="H32" s="245"/>
      <c r="I32" s="245">
        <v>1750</v>
      </c>
      <c r="J32" s="245"/>
      <c r="K32" s="245"/>
      <c r="L32" s="245"/>
      <c r="M32" s="245"/>
      <c r="N32" s="289">
        <f t="shared" si="1"/>
        <v>1750</v>
      </c>
    </row>
    <row r="33" spans="1:14">
      <c r="A33" s="256" t="s">
        <v>339</v>
      </c>
      <c r="B33" s="245"/>
      <c r="C33" s="245"/>
      <c r="D33" s="245"/>
      <c r="E33" s="245"/>
      <c r="F33" s="245"/>
      <c r="G33" s="245"/>
      <c r="H33" s="245"/>
      <c r="I33" s="245">
        <v>9870</v>
      </c>
      <c r="J33" s="245"/>
      <c r="K33" s="245"/>
      <c r="L33" s="245"/>
      <c r="M33" s="245"/>
      <c r="N33" s="289">
        <f t="shared" si="1"/>
        <v>9870</v>
      </c>
    </row>
    <row r="34" spans="1:14">
      <c r="A34" s="256" t="s">
        <v>340</v>
      </c>
      <c r="B34" s="245"/>
      <c r="C34" s="245"/>
      <c r="D34" s="245"/>
      <c r="E34" s="245"/>
      <c r="F34" s="245"/>
      <c r="G34" s="245"/>
      <c r="H34" s="245"/>
      <c r="I34" s="245">
        <v>5960</v>
      </c>
      <c r="J34" s="245"/>
      <c r="K34" s="245"/>
      <c r="L34" s="245"/>
      <c r="M34" s="245"/>
      <c r="N34" s="289">
        <f t="shared" si="1"/>
        <v>5960</v>
      </c>
    </row>
    <row r="35" spans="1:14">
      <c r="A35" s="256" t="s">
        <v>341</v>
      </c>
      <c r="B35" s="245"/>
      <c r="C35" s="245"/>
      <c r="D35" s="245"/>
      <c r="E35" s="245"/>
      <c r="F35" s="245"/>
      <c r="G35" s="245"/>
      <c r="H35" s="245"/>
      <c r="I35" s="245">
        <v>170</v>
      </c>
      <c r="J35" s="245"/>
      <c r="K35" s="245"/>
      <c r="L35" s="245"/>
      <c r="M35" s="245"/>
      <c r="N35" s="289">
        <f t="shared" si="1"/>
        <v>170</v>
      </c>
    </row>
    <row r="36" spans="1:14">
      <c r="A36" s="256" t="s">
        <v>352</v>
      </c>
      <c r="B36" s="245"/>
      <c r="C36" s="245"/>
      <c r="D36" s="245"/>
      <c r="E36" s="245"/>
      <c r="F36" s="245"/>
      <c r="G36" s="245"/>
      <c r="H36" s="245"/>
      <c r="I36" s="245"/>
      <c r="J36" s="245">
        <v>8000</v>
      </c>
      <c r="K36" s="245"/>
      <c r="L36" s="245"/>
      <c r="M36" s="245"/>
      <c r="N36" s="289">
        <f t="shared" si="1"/>
        <v>8000</v>
      </c>
    </row>
    <row r="37" spans="1:14">
      <c r="A37" s="256" t="s">
        <v>229</v>
      </c>
      <c r="B37" s="245"/>
      <c r="C37" s="245"/>
      <c r="D37" s="245"/>
      <c r="E37" s="245"/>
      <c r="F37" s="245"/>
      <c r="G37" s="245"/>
      <c r="H37" s="245"/>
      <c r="I37" s="245"/>
      <c r="J37" s="245">
        <v>6300</v>
      </c>
      <c r="K37" s="245"/>
      <c r="L37" s="245"/>
      <c r="M37" s="245"/>
      <c r="N37" s="289">
        <f t="shared" si="1"/>
        <v>6300</v>
      </c>
    </row>
    <row r="38" spans="1:14">
      <c r="A38" s="256" t="s">
        <v>360</v>
      </c>
      <c r="B38" s="245"/>
      <c r="C38" s="245"/>
      <c r="D38" s="245"/>
      <c r="E38" s="245"/>
      <c r="F38" s="245"/>
      <c r="G38" s="245"/>
      <c r="H38" s="245"/>
      <c r="I38" s="245"/>
      <c r="J38" s="245">
        <v>1000</v>
      </c>
      <c r="K38" s="245"/>
      <c r="L38" s="245"/>
      <c r="M38" s="245"/>
      <c r="N38" s="289">
        <f t="shared" si="1"/>
        <v>1000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89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89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89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89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89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89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89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179064.23</v>
      </c>
      <c r="G46" s="263">
        <f t="shared" si="2"/>
        <v>100748.04999999999</v>
      </c>
      <c r="H46" s="263">
        <f t="shared" si="2"/>
        <v>195606.11</v>
      </c>
      <c r="I46" s="263">
        <f t="shared" si="2"/>
        <v>206548.12000000002</v>
      </c>
      <c r="J46" s="263">
        <f t="shared" si="2"/>
        <v>213098.7</v>
      </c>
      <c r="K46" s="263">
        <f t="shared" si="2"/>
        <v>169635.84</v>
      </c>
      <c r="L46" s="263">
        <f t="shared" si="2"/>
        <v>0</v>
      </c>
      <c r="M46" s="263">
        <f t="shared" si="2"/>
        <v>0</v>
      </c>
      <c r="N46" s="320">
        <f>SUM(N4:N45)</f>
        <v>1430255.3499999999</v>
      </c>
    </row>
    <row r="48" spans="1:14">
      <c r="N48" s="97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7"/>
  <sheetViews>
    <sheetView workbookViewId="0">
      <selection activeCell="K6" sqref="K6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>
        <v>941</v>
      </c>
      <c r="J4" s="245"/>
      <c r="K4" s="245"/>
      <c r="L4" s="245"/>
      <c r="M4" s="245"/>
      <c r="N4" s="246">
        <f t="shared" ref="N4:N44" si="0">SUM(B4:M4)</f>
        <v>12997</v>
      </c>
    </row>
    <row r="5" spans="1:14">
      <c r="A5" s="256" t="s">
        <v>109</v>
      </c>
      <c r="B5" s="229"/>
      <c r="C5" s="245"/>
      <c r="D5" s="229"/>
      <c r="E5" s="245"/>
      <c r="F5" s="245"/>
      <c r="G5" s="245"/>
      <c r="H5" s="245"/>
      <c r="I5" s="245">
        <v>2316.23</v>
      </c>
      <c r="J5" s="245"/>
      <c r="K5" s="245">
        <v>2094</v>
      </c>
      <c r="L5" s="245"/>
      <c r="M5" s="245"/>
      <c r="N5" s="246">
        <f t="shared" si="0"/>
        <v>4410.2299999999996</v>
      </c>
    </row>
    <row r="6" spans="1:14">
      <c r="A6" s="256" t="s">
        <v>185</v>
      </c>
      <c r="B6" s="229"/>
      <c r="C6" s="245">
        <v>9990</v>
      </c>
      <c r="D6" s="229"/>
      <c r="E6" s="245"/>
      <c r="F6" s="245">
        <v>10856</v>
      </c>
      <c r="G6" s="245">
        <f>9992.5+1427.5+5598+5598</f>
        <v>22616</v>
      </c>
      <c r="H6" s="245"/>
      <c r="I6" s="245">
        <f>5698+9900+5698</f>
        <v>21296</v>
      </c>
      <c r="J6" s="245">
        <f>11576+11576</f>
        <v>23152</v>
      </c>
      <c r="K6" s="245">
        <f>11576</f>
        <v>11576</v>
      </c>
      <c r="L6" s="245"/>
      <c r="M6" s="245"/>
      <c r="N6" s="246">
        <f t="shared" si="0"/>
        <v>99486</v>
      </c>
    </row>
    <row r="7" spans="1:14">
      <c r="A7" s="256" t="s">
        <v>157</v>
      </c>
      <c r="B7" s="229">
        <v>1450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1450</v>
      </c>
    </row>
    <row r="8" spans="1:14">
      <c r="A8" s="256" t="s">
        <v>158</v>
      </c>
      <c r="B8" s="229">
        <v>1470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6">
        <f t="shared" si="0"/>
        <v>1470</v>
      </c>
    </row>
    <row r="9" spans="1:14">
      <c r="A9" s="256" t="s">
        <v>159</v>
      </c>
      <c r="B9" s="229">
        <v>350</v>
      </c>
      <c r="C9" s="245"/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350</v>
      </c>
    </row>
    <row r="10" spans="1:14">
      <c r="A10" s="256" t="s">
        <v>178</v>
      </c>
      <c r="B10" s="229"/>
      <c r="C10" s="245">
        <v>17400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17400</v>
      </c>
    </row>
    <row r="11" spans="1:14">
      <c r="A11" s="256" t="s">
        <v>179</v>
      </c>
      <c r="B11" s="229"/>
      <c r="C11" s="245">
        <v>4000</v>
      </c>
      <c r="D11" s="229"/>
      <c r="E11" s="245"/>
      <c r="F11" s="245">
        <v>2000</v>
      </c>
      <c r="G11" s="245"/>
      <c r="H11" s="245"/>
      <c r="I11" s="245"/>
      <c r="J11" s="245">
        <f>2000+251</f>
        <v>2251</v>
      </c>
      <c r="K11" s="245"/>
      <c r="L11" s="245"/>
      <c r="M11" s="245"/>
      <c r="N11" s="243">
        <f t="shared" si="0"/>
        <v>8251</v>
      </c>
    </row>
    <row r="12" spans="1:14">
      <c r="A12" s="256" t="s">
        <v>180</v>
      </c>
      <c r="B12" s="229"/>
      <c r="C12" s="245">
        <v>1960</v>
      </c>
      <c r="D12" s="229"/>
      <c r="E12" s="245"/>
      <c r="F12" s="245"/>
      <c r="G12" s="245"/>
      <c r="H12" s="245"/>
      <c r="I12" s="245"/>
      <c r="J12" s="245"/>
      <c r="K12" s="245"/>
      <c r="L12" s="245"/>
      <c r="M12" s="245"/>
      <c r="N12" s="243">
        <f t="shared" si="0"/>
        <v>1960</v>
      </c>
    </row>
    <row r="13" spans="1:14">
      <c r="A13" s="256" t="s">
        <v>227</v>
      </c>
      <c r="B13" s="229"/>
      <c r="C13" s="245"/>
      <c r="D13" s="229">
        <v>1300</v>
      </c>
      <c r="E13" s="193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1300</v>
      </c>
    </row>
    <row r="14" spans="1:14">
      <c r="A14" s="256" t="s">
        <v>261</v>
      </c>
      <c r="B14" s="229"/>
      <c r="C14" s="245"/>
      <c r="D14" s="229"/>
      <c r="E14" s="245"/>
      <c r="F14" s="245">
        <f>33340+6060+18330</f>
        <v>57730</v>
      </c>
      <c r="G14" s="245"/>
      <c r="H14" s="245"/>
      <c r="I14" s="245"/>
      <c r="J14" s="245"/>
      <c r="K14" s="245"/>
      <c r="L14" s="245"/>
      <c r="M14" s="245"/>
      <c r="N14" s="244">
        <f t="shared" si="0"/>
        <v>57730</v>
      </c>
    </row>
    <row r="15" spans="1:14">
      <c r="A15" s="262" t="s">
        <v>263</v>
      </c>
      <c r="B15" s="229"/>
      <c r="C15" s="245"/>
      <c r="D15" s="229"/>
      <c r="E15" s="245"/>
      <c r="F15" s="245">
        <v>36654</v>
      </c>
      <c r="G15" s="245"/>
      <c r="H15" s="245"/>
      <c r="I15" s="245">
        <v>39690</v>
      </c>
      <c r="J15" s="245"/>
      <c r="K15" s="245"/>
      <c r="L15" s="245"/>
      <c r="M15" s="245"/>
      <c r="N15" s="244">
        <f t="shared" si="0"/>
        <v>76344</v>
      </c>
    </row>
    <row r="16" spans="1:14">
      <c r="A16" s="223" t="s">
        <v>280</v>
      </c>
      <c r="B16" s="224"/>
      <c r="C16" s="245"/>
      <c r="D16" s="229"/>
      <c r="E16" s="245"/>
      <c r="F16" s="245"/>
      <c r="G16" s="245">
        <f>400+400+400</f>
        <v>1200</v>
      </c>
      <c r="H16" s="245"/>
      <c r="I16" s="245"/>
      <c r="J16" s="245"/>
      <c r="K16" s="245"/>
      <c r="L16" s="245"/>
      <c r="M16" s="245"/>
      <c r="N16" s="244">
        <f t="shared" si="0"/>
        <v>1200</v>
      </c>
    </row>
    <row r="17" spans="1:14">
      <c r="A17" s="256" t="s">
        <v>287</v>
      </c>
      <c r="B17" s="229"/>
      <c r="C17" s="245"/>
      <c r="D17" s="229"/>
      <c r="E17" s="245"/>
      <c r="F17" s="245"/>
      <c r="G17" s="245">
        <v>4150</v>
      </c>
      <c r="H17" s="245"/>
      <c r="I17" s="245"/>
      <c r="J17" s="245"/>
      <c r="K17" s="245"/>
      <c r="L17" s="245"/>
      <c r="M17" s="245"/>
      <c r="N17" s="244">
        <f t="shared" si="0"/>
        <v>4150</v>
      </c>
    </row>
    <row r="18" spans="1:14">
      <c r="A18" s="262" t="s">
        <v>288</v>
      </c>
      <c r="B18" s="229"/>
      <c r="C18" s="245"/>
      <c r="D18" s="229"/>
      <c r="E18" s="245"/>
      <c r="F18" s="245"/>
      <c r="G18" s="245">
        <v>1090</v>
      </c>
      <c r="H18" s="245"/>
      <c r="I18" s="245"/>
      <c r="J18" s="245"/>
      <c r="K18" s="245"/>
      <c r="L18" s="245"/>
      <c r="M18" s="245"/>
      <c r="N18" s="244">
        <f t="shared" si="0"/>
        <v>1090</v>
      </c>
    </row>
    <row r="19" spans="1:14">
      <c r="A19" s="256" t="s">
        <v>289</v>
      </c>
      <c r="B19" s="229"/>
      <c r="C19" s="245"/>
      <c r="D19" s="229"/>
      <c r="E19" s="245"/>
      <c r="F19" s="245"/>
      <c r="G19" s="245">
        <v>641</v>
      </c>
      <c r="H19" s="245"/>
      <c r="I19" s="245"/>
      <c r="J19" s="245"/>
      <c r="K19" s="245"/>
      <c r="L19" s="245"/>
      <c r="M19" s="245"/>
      <c r="N19" s="244">
        <f t="shared" si="0"/>
        <v>641</v>
      </c>
    </row>
    <row r="20" spans="1:14">
      <c r="A20" s="256" t="s">
        <v>303</v>
      </c>
      <c r="B20" s="229"/>
      <c r="C20" s="245"/>
      <c r="D20" s="229"/>
      <c r="E20" s="245"/>
      <c r="F20" s="245"/>
      <c r="G20" s="245"/>
      <c r="H20" s="245">
        <v>5500</v>
      </c>
      <c r="I20" s="245"/>
      <c r="J20" s="245"/>
      <c r="K20" s="245"/>
      <c r="L20" s="245"/>
      <c r="M20" s="245"/>
      <c r="N20" s="244">
        <f t="shared" si="0"/>
        <v>5500</v>
      </c>
    </row>
    <row r="21" spans="1:14">
      <c r="A21" s="262" t="s">
        <v>311</v>
      </c>
      <c r="B21" s="229"/>
      <c r="C21" s="245"/>
      <c r="D21" s="229"/>
      <c r="E21" s="245"/>
      <c r="F21" s="245"/>
      <c r="G21" s="245"/>
      <c r="H21" s="245">
        <v>288</v>
      </c>
      <c r="I21" s="245"/>
      <c r="J21" s="245"/>
      <c r="K21" s="245"/>
      <c r="L21" s="245"/>
      <c r="M21" s="245"/>
      <c r="N21" s="244">
        <f t="shared" si="0"/>
        <v>288</v>
      </c>
    </row>
    <row r="22" spans="1:14">
      <c r="A22" s="262" t="s">
        <v>315</v>
      </c>
      <c r="B22" s="229"/>
      <c r="C22" s="245"/>
      <c r="D22" s="229"/>
      <c r="E22" s="245"/>
      <c r="F22" s="245"/>
      <c r="G22" s="245"/>
      <c r="H22" s="245">
        <f>2250+1240</f>
        <v>3490</v>
      </c>
      <c r="I22" s="245"/>
      <c r="J22" s="245"/>
      <c r="K22" s="245"/>
      <c r="L22" s="245"/>
      <c r="M22" s="245"/>
      <c r="N22" s="244">
        <f t="shared" si="0"/>
        <v>3490</v>
      </c>
    </row>
    <row r="23" spans="1:14">
      <c r="A23" s="262" t="s">
        <v>316</v>
      </c>
      <c r="B23" s="229"/>
      <c r="C23" s="245"/>
      <c r="D23" s="229"/>
      <c r="E23" s="245"/>
      <c r="F23" s="245"/>
      <c r="G23" s="245"/>
      <c r="H23" s="245"/>
      <c r="I23" s="245">
        <v>2866.73</v>
      </c>
      <c r="J23" s="245"/>
      <c r="K23" s="245"/>
      <c r="L23" s="245"/>
      <c r="M23" s="245"/>
      <c r="N23" s="244">
        <f t="shared" si="0"/>
        <v>2866.73</v>
      </c>
    </row>
    <row r="24" spans="1:14">
      <c r="A24" s="262" t="s">
        <v>325</v>
      </c>
      <c r="B24" s="229"/>
      <c r="C24" s="245"/>
      <c r="D24" s="229"/>
      <c r="E24" s="245"/>
      <c r="F24" s="245"/>
      <c r="G24" s="245"/>
      <c r="H24" s="245"/>
      <c r="I24" s="245">
        <v>96</v>
      </c>
      <c r="J24" s="245"/>
      <c r="K24" s="245"/>
      <c r="L24" s="245"/>
      <c r="M24" s="245"/>
      <c r="N24" s="244">
        <f t="shared" si="0"/>
        <v>96</v>
      </c>
    </row>
    <row r="25" spans="1:14">
      <c r="A25" s="262" t="s">
        <v>334</v>
      </c>
      <c r="B25" s="229"/>
      <c r="C25" s="245"/>
      <c r="D25" s="229"/>
      <c r="E25" s="245"/>
      <c r="F25" s="245"/>
      <c r="G25" s="245"/>
      <c r="H25" s="245"/>
      <c r="I25" s="245">
        <v>460</v>
      </c>
      <c r="J25" s="245"/>
      <c r="K25" s="245"/>
      <c r="L25" s="245"/>
      <c r="M25" s="245"/>
      <c r="N25" s="244">
        <f t="shared" si="0"/>
        <v>460</v>
      </c>
    </row>
    <row r="26" spans="1:14">
      <c r="A26" s="262" t="s">
        <v>350</v>
      </c>
      <c r="B26" s="229"/>
      <c r="C26" s="245"/>
      <c r="D26" s="229"/>
      <c r="E26" s="245"/>
      <c r="F26" s="245"/>
      <c r="G26" s="245"/>
      <c r="H26" s="245"/>
      <c r="I26" s="245"/>
      <c r="J26" s="245">
        <v>29210</v>
      </c>
      <c r="K26" s="245"/>
      <c r="L26" s="245"/>
      <c r="M26" s="245"/>
      <c r="N26" s="244">
        <f t="shared" si="0"/>
        <v>29210</v>
      </c>
    </row>
    <row r="27" spans="1:14">
      <c r="A27" s="262" t="s">
        <v>351</v>
      </c>
      <c r="B27" s="229"/>
      <c r="C27" s="245"/>
      <c r="D27" s="229"/>
      <c r="E27" s="245"/>
      <c r="F27" s="245"/>
      <c r="G27" s="245"/>
      <c r="H27" s="245"/>
      <c r="I27" s="245"/>
      <c r="J27" s="245">
        <v>50600</v>
      </c>
      <c r="K27" s="245"/>
      <c r="L27" s="245"/>
      <c r="M27" s="245"/>
      <c r="N27" s="244">
        <f t="shared" si="0"/>
        <v>50600</v>
      </c>
    </row>
    <row r="28" spans="1:14">
      <c r="A28" s="262" t="s">
        <v>354</v>
      </c>
      <c r="B28" s="229"/>
      <c r="C28" s="245"/>
      <c r="D28" s="229"/>
      <c r="E28" s="245"/>
      <c r="F28" s="245"/>
      <c r="G28" s="245"/>
      <c r="H28" s="245"/>
      <c r="I28" s="245"/>
      <c r="J28" s="245">
        <v>1650</v>
      </c>
      <c r="K28" s="245"/>
      <c r="L28" s="245"/>
      <c r="M28" s="245"/>
      <c r="N28" s="244">
        <f t="shared" si="0"/>
        <v>1650</v>
      </c>
    </row>
    <row r="29" spans="1:14">
      <c r="A29" s="262" t="s">
        <v>366</v>
      </c>
      <c r="B29" s="229"/>
      <c r="C29" s="245"/>
      <c r="D29" s="229"/>
      <c r="E29" s="245"/>
      <c r="F29" s="245"/>
      <c r="G29" s="245"/>
      <c r="H29" s="245"/>
      <c r="I29" s="245"/>
      <c r="J29" s="245"/>
      <c r="K29" s="245">
        <f>400+450+2000+8200</f>
        <v>11050</v>
      </c>
      <c r="L29" s="245"/>
      <c r="M29" s="245"/>
      <c r="N29" s="244">
        <f t="shared" si="0"/>
        <v>11050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62"/>
      <c r="B44" s="229"/>
      <c r="C44" s="245"/>
      <c r="D44" s="229"/>
      <c r="E44" s="245"/>
      <c r="F44" s="245"/>
      <c r="G44" s="245"/>
      <c r="H44" s="245"/>
      <c r="I44" s="245"/>
      <c r="J44" s="245"/>
      <c r="K44" s="245"/>
      <c r="L44" s="245"/>
      <c r="M44" s="245"/>
      <c r="N44" s="244">
        <f t="shared" si="0"/>
        <v>0</v>
      </c>
    </row>
    <row r="45" spans="1:14">
      <c r="A45" s="249" t="s">
        <v>104</v>
      </c>
      <c r="B45" s="247">
        <f t="shared" ref="B45:M45" si="1">SUM(B4:B44)</f>
        <v>7978</v>
      </c>
      <c r="C45" s="247">
        <f t="shared" si="1"/>
        <v>33350</v>
      </c>
      <c r="D45" s="247">
        <f t="shared" si="1"/>
        <v>1300</v>
      </c>
      <c r="E45" s="247">
        <f t="shared" si="1"/>
        <v>0</v>
      </c>
      <c r="F45" s="247">
        <f t="shared" si="1"/>
        <v>111865</v>
      </c>
      <c r="G45" s="247">
        <f t="shared" si="1"/>
        <v>32420</v>
      </c>
      <c r="H45" s="247">
        <f t="shared" si="1"/>
        <v>9278</v>
      </c>
      <c r="I45" s="247">
        <f t="shared" si="1"/>
        <v>67665.959999999992</v>
      </c>
      <c r="J45" s="247">
        <f t="shared" si="1"/>
        <v>106863</v>
      </c>
      <c r="K45" s="247">
        <f t="shared" si="1"/>
        <v>24720</v>
      </c>
      <c r="L45" s="247">
        <f t="shared" si="1"/>
        <v>0</v>
      </c>
      <c r="M45" s="247">
        <f t="shared" si="1"/>
        <v>0</v>
      </c>
      <c r="N45" s="280">
        <f>SUM(N4:N44)</f>
        <v>395439.95999999996</v>
      </c>
    </row>
    <row r="47" spans="1:14">
      <c r="N47" s="255">
        <f>SUM(B45:M45)-N45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37" workbookViewId="0">
      <selection activeCell="B54" sqref="B54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61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>
        <v>2644</v>
      </c>
      <c r="I4" s="229"/>
      <c r="J4" s="229"/>
      <c r="K4" s="229"/>
      <c r="L4" s="229"/>
      <c r="M4" s="229"/>
      <c r="N4" s="224">
        <f t="shared" si="0"/>
        <v>4983.1000000000004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>
        <v>11451.73</v>
      </c>
      <c r="I5" s="229"/>
      <c r="J5" s="229"/>
      <c r="K5" s="229"/>
      <c r="L5" s="229"/>
      <c r="M5" s="229"/>
      <c r="N5" s="224">
        <f t="shared" si="0"/>
        <v>11451.73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262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265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268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269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297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298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299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 t="s">
        <v>306</v>
      </c>
      <c r="B45" s="229"/>
      <c r="C45" s="229"/>
      <c r="D45" s="229"/>
      <c r="E45" s="229"/>
      <c r="F45" s="229"/>
      <c r="G45" s="229"/>
      <c r="H45" s="229">
        <f>3627+12140</f>
        <v>15767</v>
      </c>
      <c r="I45" s="229"/>
      <c r="J45" s="229"/>
      <c r="K45" s="229"/>
      <c r="L45" s="229"/>
      <c r="M45" s="229"/>
      <c r="N45" s="224">
        <f t="shared" si="1"/>
        <v>15767</v>
      </c>
    </row>
    <row r="46" spans="1:14">
      <c r="A46" s="278" t="s">
        <v>323</v>
      </c>
      <c r="B46" s="229"/>
      <c r="C46" s="229"/>
      <c r="D46" s="229"/>
      <c r="E46" s="229"/>
      <c r="F46" s="229"/>
      <c r="G46" s="229"/>
      <c r="H46" s="229"/>
      <c r="I46" s="229">
        <v>381</v>
      </c>
      <c r="J46" s="229"/>
      <c r="K46" s="229"/>
      <c r="L46" s="229"/>
      <c r="M46" s="229"/>
      <c r="N46" s="224">
        <f t="shared" si="1"/>
        <v>381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4520.7</v>
      </c>
      <c r="H62" s="285">
        <f t="shared" si="2"/>
        <v>29862.73</v>
      </c>
      <c r="I62" s="285">
        <f t="shared" si="2"/>
        <v>381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128168.92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workbookViewId="0">
      <selection activeCell="A29" sqref="A29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>
        <v>50000</v>
      </c>
      <c r="I3" s="287"/>
      <c r="J3" s="287"/>
      <c r="K3" s="287"/>
      <c r="L3" s="287"/>
      <c r="M3" s="287"/>
      <c r="N3" s="288">
        <f t="shared" ref="N3:N34" si="0">SUM(B3:M3)</f>
        <v>100000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74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5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 t="shared" si="0"/>
        <v>80000</v>
      </c>
    </row>
    <row r="7" spans="1:18">
      <c r="A7" s="375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7">
        <f t="shared" si="0"/>
        <v>107600</v>
      </c>
    </row>
    <row r="8" spans="1:18">
      <c r="A8" s="376"/>
      <c r="B8" s="227"/>
      <c r="C8" s="227"/>
      <c r="D8" s="227"/>
      <c r="E8" s="291"/>
      <c r="F8" s="227"/>
      <c r="G8" s="291"/>
      <c r="H8" s="316">
        <v>-100000</v>
      </c>
      <c r="I8" s="291">
        <v>300000</v>
      </c>
      <c r="J8" s="227"/>
      <c r="K8" s="227"/>
      <c r="L8" s="227"/>
      <c r="M8" s="227"/>
      <c r="N8" s="287">
        <f t="shared" si="0"/>
        <v>200000</v>
      </c>
    </row>
    <row r="9" spans="1:18" ht="13.5" customHeight="1">
      <c r="A9" s="232" t="s">
        <v>203</v>
      </c>
      <c r="B9" s="227"/>
      <c r="C9" s="227"/>
      <c r="D9" s="227">
        <v>6000</v>
      </c>
      <c r="E9" s="291"/>
      <c r="F9" s="240"/>
      <c r="G9" s="291"/>
      <c r="H9" s="227"/>
      <c r="I9" s="291"/>
      <c r="J9" s="227"/>
      <c r="K9" s="227">
        <v>6000</v>
      </c>
      <c r="L9" s="227"/>
      <c r="M9" s="227"/>
      <c r="N9" s="287">
        <f t="shared" si="0"/>
        <v>12000</v>
      </c>
    </row>
    <row r="10" spans="1:18">
      <c r="A10" s="256" t="s">
        <v>204</v>
      </c>
      <c r="B10" s="227"/>
      <c r="C10" s="227"/>
      <c r="D10" s="227">
        <v>30000</v>
      </c>
      <c r="E10" s="291">
        <v>30000</v>
      </c>
      <c r="F10" s="227"/>
      <c r="G10" s="291">
        <v>30000</v>
      </c>
      <c r="H10" s="227">
        <v>30000</v>
      </c>
      <c r="I10" s="291"/>
      <c r="J10" s="227"/>
      <c r="K10" s="227"/>
      <c r="L10" s="227"/>
      <c r="M10" s="227"/>
      <c r="N10" s="287">
        <f t="shared" si="0"/>
        <v>120000</v>
      </c>
    </row>
    <row r="11" spans="1:18">
      <c r="A11" s="256" t="s">
        <v>231</v>
      </c>
      <c r="B11" s="292"/>
      <c r="C11" s="292"/>
      <c r="D11" s="292"/>
      <c r="E11" s="292">
        <v>37000</v>
      </c>
      <c r="F11" s="292">
        <v>18000</v>
      </c>
      <c r="G11" s="292"/>
      <c r="H11" s="292"/>
      <c r="I11" s="292"/>
      <c r="J11" s="289"/>
      <c r="K11" s="289"/>
      <c r="L11" s="289"/>
      <c r="M11" s="289"/>
      <c r="N11" s="287">
        <f t="shared" si="0"/>
        <v>55000</v>
      </c>
    </row>
    <row r="12" spans="1:18">
      <c r="A12" s="262" t="s">
        <v>232</v>
      </c>
      <c r="B12" s="292"/>
      <c r="C12" s="292"/>
      <c r="D12" s="292"/>
      <c r="E12" s="292">
        <v>45000</v>
      </c>
      <c r="F12" s="292"/>
      <c r="G12" s="292"/>
      <c r="H12" s="292"/>
      <c r="I12" s="292"/>
      <c r="J12" s="292"/>
      <c r="K12" s="292"/>
      <c r="L12" s="292"/>
      <c r="M12" s="292"/>
      <c r="N12" s="287">
        <f t="shared" si="0"/>
        <v>45000</v>
      </c>
    </row>
    <row r="13" spans="1:18">
      <c r="A13" s="273" t="s">
        <v>233</v>
      </c>
      <c r="B13" s="222"/>
      <c r="C13" s="222"/>
      <c r="D13" s="287"/>
      <c r="E13" s="240">
        <v>40000</v>
      </c>
      <c r="F13" s="287"/>
      <c r="G13" s="287"/>
      <c r="H13" s="287"/>
      <c r="I13" s="287"/>
      <c r="J13" s="287"/>
      <c r="K13" s="287"/>
      <c r="L13" s="287"/>
      <c r="M13" s="287"/>
      <c r="N13" s="287">
        <f t="shared" si="0"/>
        <v>40000</v>
      </c>
    </row>
    <row r="14" spans="1:18">
      <c r="A14" s="262" t="s">
        <v>235</v>
      </c>
      <c r="B14" s="240"/>
      <c r="C14" s="240"/>
      <c r="D14" s="240"/>
      <c r="E14" s="240">
        <v>24000</v>
      </c>
      <c r="F14" s="240"/>
      <c r="G14" s="290"/>
      <c r="H14" s="240"/>
      <c r="I14" s="290"/>
      <c r="J14" s="240"/>
      <c r="K14" s="240"/>
      <c r="L14" s="240"/>
      <c r="M14" s="240"/>
      <c r="N14" s="287">
        <f t="shared" si="0"/>
        <v>24000</v>
      </c>
    </row>
    <row r="15" spans="1:18">
      <c r="A15" s="262" t="s">
        <v>231</v>
      </c>
      <c r="B15" s="240"/>
      <c r="C15" s="240"/>
      <c r="D15" s="240"/>
      <c r="E15" s="240">
        <v>18000</v>
      </c>
      <c r="F15" s="240">
        <v>5550</v>
      </c>
      <c r="G15" s="290">
        <v>18000</v>
      </c>
      <c r="H15" s="240">
        <v>23500</v>
      </c>
      <c r="I15" s="240"/>
      <c r="J15" s="240"/>
      <c r="K15" s="240"/>
      <c r="L15" s="240"/>
      <c r="M15" s="240"/>
      <c r="N15" s="287">
        <f t="shared" si="0"/>
        <v>65050</v>
      </c>
    </row>
    <row r="16" spans="1:18">
      <c r="A16" s="262" t="s">
        <v>257</v>
      </c>
      <c r="B16" s="245"/>
      <c r="C16" s="229"/>
      <c r="D16" s="245"/>
      <c r="E16" s="240">
        <v>115560</v>
      </c>
      <c r="F16" s="240"/>
      <c r="G16" s="290"/>
      <c r="H16" s="240"/>
      <c r="I16" s="240"/>
      <c r="J16" s="240"/>
      <c r="K16" s="240"/>
      <c r="L16" s="240"/>
      <c r="M16" s="240"/>
      <c r="N16" s="287">
        <f t="shared" si="0"/>
        <v>115560</v>
      </c>
    </row>
    <row r="17" spans="1:14">
      <c r="A17" s="262" t="s">
        <v>258</v>
      </c>
      <c r="B17" s="240"/>
      <c r="C17" s="240"/>
      <c r="D17" s="240"/>
      <c r="E17" s="290"/>
      <c r="F17" s="240">
        <v>71950</v>
      </c>
      <c r="G17" s="290"/>
      <c r="H17" s="240"/>
      <c r="I17" s="290"/>
      <c r="J17" s="240"/>
      <c r="K17" s="240"/>
      <c r="L17" s="240"/>
      <c r="M17" s="240"/>
      <c r="N17" s="287">
        <f t="shared" si="0"/>
        <v>71950</v>
      </c>
    </row>
    <row r="18" spans="1:14">
      <c r="A18" s="262" t="s">
        <v>259</v>
      </c>
      <c r="B18" s="240"/>
      <c r="C18" s="240"/>
      <c r="D18" s="240"/>
      <c r="E18" s="240"/>
      <c r="F18" s="240">
        <v>24000</v>
      </c>
      <c r="G18" s="317">
        <v>-12000</v>
      </c>
      <c r="H18" s="240"/>
      <c r="I18" s="290"/>
      <c r="J18" s="240"/>
      <c r="K18" s="240"/>
      <c r="L18" s="240"/>
      <c r="M18" s="240"/>
      <c r="N18" s="287">
        <f t="shared" si="0"/>
        <v>12000</v>
      </c>
    </row>
    <row r="19" spans="1:14">
      <c r="A19" s="262" t="s">
        <v>260</v>
      </c>
      <c r="B19" s="240"/>
      <c r="C19" s="240"/>
      <c r="D19" s="240"/>
      <c r="E19" s="240"/>
      <c r="F19" s="240">
        <v>128500</v>
      </c>
      <c r="G19" s="290"/>
      <c r="H19" s="240"/>
      <c r="I19" s="240"/>
      <c r="J19" s="240"/>
      <c r="K19" s="240"/>
      <c r="L19" s="240"/>
      <c r="M19" s="240"/>
      <c r="N19" s="287">
        <f t="shared" si="0"/>
        <v>128500</v>
      </c>
    </row>
    <row r="20" spans="1:14">
      <c r="A20" s="262" t="s">
        <v>264</v>
      </c>
      <c r="B20" s="240"/>
      <c r="C20" s="240"/>
      <c r="D20" s="240"/>
      <c r="E20" s="240"/>
      <c r="F20" s="240">
        <v>9215</v>
      </c>
      <c r="G20" s="290"/>
      <c r="H20" s="240"/>
      <c r="I20" s="240"/>
      <c r="J20" s="240"/>
      <c r="K20" s="240"/>
      <c r="L20" s="240"/>
      <c r="M20" s="240"/>
      <c r="N20" s="287">
        <f t="shared" si="0"/>
        <v>9215</v>
      </c>
    </row>
    <row r="21" spans="1:14">
      <c r="A21" s="245" t="s">
        <v>273</v>
      </c>
      <c r="B21" s="240"/>
      <c r="C21" s="240"/>
      <c r="D21" s="240"/>
      <c r="E21" s="240"/>
      <c r="F21" s="240"/>
      <c r="G21" s="240">
        <v>12000</v>
      </c>
      <c r="H21" s="240"/>
      <c r="I21" s="240"/>
      <c r="J21" s="240"/>
      <c r="K21" s="240"/>
      <c r="L21" s="240"/>
      <c r="M21" s="240"/>
      <c r="N21" s="227">
        <f t="shared" si="0"/>
        <v>12000</v>
      </c>
    </row>
    <row r="22" spans="1:14">
      <c r="A22" s="245" t="s">
        <v>275</v>
      </c>
      <c r="B22" s="240"/>
      <c r="C22" s="287"/>
      <c r="D22" s="287"/>
      <c r="E22" s="240"/>
      <c r="F22" s="287"/>
      <c r="G22" s="287">
        <v>30000</v>
      </c>
      <c r="H22" s="287"/>
      <c r="I22" s="287"/>
      <c r="J22" s="287"/>
      <c r="K22" s="287"/>
      <c r="L22" s="287"/>
      <c r="M22" s="287"/>
      <c r="N22" s="287">
        <f t="shared" si="0"/>
        <v>30000</v>
      </c>
    </row>
    <row r="23" spans="1:14">
      <c r="A23" s="262" t="s">
        <v>302</v>
      </c>
      <c r="B23" s="240"/>
      <c r="C23" s="287"/>
      <c r="D23" s="289"/>
      <c r="E23" s="287"/>
      <c r="F23" s="287"/>
      <c r="G23" s="287"/>
      <c r="H23" s="287">
        <v>74417.33</v>
      </c>
      <c r="I23" s="287"/>
      <c r="J23" s="287"/>
      <c r="K23" s="287"/>
      <c r="L23" s="287"/>
      <c r="M23" s="287"/>
      <c r="N23" s="287">
        <f t="shared" si="0"/>
        <v>74417.33</v>
      </c>
    </row>
    <row r="24" spans="1:14">
      <c r="A24" s="269" t="s">
        <v>304</v>
      </c>
      <c r="B24" s="227"/>
      <c r="C24" s="227"/>
      <c r="D24" s="227"/>
      <c r="E24" s="291"/>
      <c r="F24" s="291"/>
      <c r="G24" s="291"/>
      <c r="H24" s="227">
        <v>90680</v>
      </c>
      <c r="I24" s="291"/>
      <c r="J24" s="227"/>
      <c r="K24" s="227"/>
      <c r="L24" s="227"/>
      <c r="M24" s="227"/>
      <c r="N24" s="287">
        <f t="shared" si="0"/>
        <v>90680</v>
      </c>
    </row>
    <row r="25" spans="1:14">
      <c r="A25" s="269" t="s">
        <v>305</v>
      </c>
      <c r="B25" s="227"/>
      <c r="C25" s="227"/>
      <c r="D25" s="227"/>
      <c r="E25" s="291"/>
      <c r="F25" s="291"/>
      <c r="G25" s="291"/>
      <c r="H25" s="227">
        <v>20700</v>
      </c>
      <c r="I25" s="291"/>
      <c r="J25" s="227"/>
      <c r="K25" s="227"/>
      <c r="L25" s="227"/>
      <c r="M25" s="227"/>
      <c r="N25" s="287">
        <f t="shared" si="0"/>
        <v>20700</v>
      </c>
    </row>
    <row r="26" spans="1:14">
      <c r="A26" s="256" t="s">
        <v>317</v>
      </c>
      <c r="B26" s="227"/>
      <c r="C26" s="227"/>
      <c r="D26" s="227"/>
      <c r="E26" s="291"/>
      <c r="F26" s="227"/>
      <c r="G26" s="291"/>
      <c r="H26" s="227"/>
      <c r="I26" s="291">
        <v>9600</v>
      </c>
      <c r="J26" s="227"/>
      <c r="K26" s="227"/>
      <c r="L26" s="227"/>
      <c r="M26" s="227"/>
      <c r="N26" s="287">
        <f t="shared" si="0"/>
        <v>9600</v>
      </c>
    </row>
    <row r="27" spans="1:14">
      <c r="A27" s="256" t="s">
        <v>321</v>
      </c>
      <c r="B27" s="240"/>
      <c r="C27" s="287"/>
      <c r="D27" s="240"/>
      <c r="E27" s="287"/>
      <c r="F27" s="287"/>
      <c r="G27" s="287"/>
      <c r="H27" s="227"/>
      <c r="I27" s="287">
        <v>90000</v>
      </c>
      <c r="J27" s="287"/>
      <c r="K27" s="287"/>
      <c r="L27" s="287"/>
      <c r="M27" s="287"/>
      <c r="N27" s="287">
        <f t="shared" si="0"/>
        <v>90000</v>
      </c>
    </row>
    <row r="28" spans="1:14" ht="26.25">
      <c r="A28" s="293" t="s">
        <v>365</v>
      </c>
      <c r="B28" s="227"/>
      <c r="C28" s="294"/>
      <c r="D28" s="294"/>
      <c r="E28" s="291"/>
      <c r="F28" s="289"/>
      <c r="G28" s="295"/>
      <c r="H28" s="289"/>
      <c r="I28" s="295"/>
      <c r="J28" s="289"/>
      <c r="K28" s="289">
        <f>1270+1270+1270</f>
        <v>3810</v>
      </c>
      <c r="L28" s="289"/>
      <c r="M28" s="289"/>
      <c r="N28" s="287">
        <f t="shared" si="0"/>
        <v>3810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0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0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0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0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0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0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ref="N35:N65" si="1">SUM(B35:M35)</f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309560</v>
      </c>
      <c r="F66" s="263">
        <f t="shared" si="2"/>
        <v>257215</v>
      </c>
      <c r="G66" s="263">
        <f t="shared" si="2"/>
        <v>78000</v>
      </c>
      <c r="H66" s="263">
        <f t="shared" si="2"/>
        <v>189297.33000000002</v>
      </c>
      <c r="I66" s="263">
        <f t="shared" si="2"/>
        <v>399600</v>
      </c>
      <c r="J66" s="263">
        <f t="shared" si="2"/>
        <v>0</v>
      </c>
      <c r="K66" s="263">
        <f t="shared" si="2"/>
        <v>9810</v>
      </c>
      <c r="L66" s="263">
        <f t="shared" si="2"/>
        <v>0</v>
      </c>
      <c r="M66" s="263">
        <f t="shared" si="2"/>
        <v>0</v>
      </c>
      <c r="N66" s="263">
        <f t="shared" si="2"/>
        <v>1713490.33</v>
      </c>
    </row>
    <row r="68" spans="1:14">
      <c r="N68" s="255">
        <f>SUM(B66:M66)-N66</f>
        <v>0</v>
      </c>
    </row>
  </sheetData>
  <mergeCells count="1">
    <mergeCell ref="A5:A8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topLeftCell="A13" workbookViewId="0">
      <selection activeCell="N1" sqref="N1:O65536"/>
    </sheetView>
  </sheetViews>
  <sheetFormatPr defaultRowHeight="15"/>
  <cols>
    <col min="1" max="1" width="37" style="95" customWidth="1"/>
    <col min="2" max="2" width="14.7109375" style="96" bestFit="1" customWidth="1"/>
    <col min="3" max="3" width="13.5703125" style="96" hidden="1" customWidth="1"/>
    <col min="4" max="4" width="13.28515625" style="96" customWidth="1"/>
    <col min="5" max="5" width="14.7109375" style="96" bestFit="1" customWidth="1"/>
    <col min="6" max="6" width="13.5703125" style="96" bestFit="1" customWidth="1"/>
    <col min="7" max="8" width="13.5703125" style="97" bestFit="1" customWidth="1"/>
    <col min="9" max="10" width="13.42578125" style="97" bestFit="1" customWidth="1"/>
    <col min="11" max="11" width="13.5703125" style="97" bestFit="1" customWidth="1"/>
    <col min="12" max="13" width="13.42578125" style="97" bestFit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361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10</v>
      </c>
      <c r="R2" s="96" t="s">
        <v>54</v>
      </c>
    </row>
    <row r="3" spans="1:19" ht="37.5" customHeight="1">
      <c r="A3" s="9" t="s">
        <v>1</v>
      </c>
      <c r="B3" s="354" t="s">
        <v>2</v>
      </c>
      <c r="C3" s="354" t="s">
        <v>55</v>
      </c>
      <c r="D3" s="352" t="s">
        <v>4</v>
      </c>
      <c r="E3" s="352" t="s">
        <v>5</v>
      </c>
      <c r="F3" s="352" t="s">
        <v>6</v>
      </c>
      <c r="G3" s="352" t="s">
        <v>7</v>
      </c>
      <c r="H3" s="352" t="s">
        <v>8</v>
      </c>
      <c r="I3" s="352" t="s">
        <v>9</v>
      </c>
      <c r="J3" s="352" t="s">
        <v>14</v>
      </c>
      <c r="K3" s="352" t="s">
        <v>15</v>
      </c>
      <c r="L3" s="352" t="s">
        <v>16</v>
      </c>
      <c r="M3" s="352" t="s">
        <v>17</v>
      </c>
      <c r="N3" s="352" t="s">
        <v>18</v>
      </c>
      <c r="O3" s="352" t="s">
        <v>19</v>
      </c>
      <c r="P3" s="354" t="str">
        <f>CONCATENATE("Итого за ",Q2," мес.")</f>
        <v>Итого за 10 мес.</v>
      </c>
      <c r="Q3" s="354" t="str">
        <f>CONCATENATE("Бюджет          за ",Q2," мес.")</f>
        <v>Бюджет          за 10 мес.</v>
      </c>
      <c r="R3" s="357" t="s">
        <v>12</v>
      </c>
    </row>
    <row r="4" spans="1:19" ht="15" customHeight="1">
      <c r="A4" s="102"/>
      <c r="B4" s="355"/>
      <c r="C4" s="355"/>
      <c r="D4" s="353"/>
      <c r="E4" s="353"/>
      <c r="F4" s="353"/>
      <c r="G4" s="353"/>
      <c r="H4" s="353" t="s">
        <v>8</v>
      </c>
      <c r="I4" s="353" t="s">
        <v>9</v>
      </c>
      <c r="J4" s="353" t="s">
        <v>14</v>
      </c>
      <c r="K4" s="353" t="s">
        <v>15</v>
      </c>
      <c r="L4" s="353" t="s">
        <v>16</v>
      </c>
      <c r="M4" s="353" t="s">
        <v>17</v>
      </c>
      <c r="N4" s="353" t="s">
        <v>18</v>
      </c>
      <c r="O4" s="353" t="s">
        <v>19</v>
      </c>
      <c r="P4" s="355"/>
      <c r="Q4" s="356"/>
      <c r="R4" s="358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>
        <f>326+3388862.65</f>
        <v>3389188.65</v>
      </c>
      <c r="K6" s="110">
        <f>326+3432942.01</f>
        <v>3433268.01</v>
      </c>
      <c r="L6" s="114">
        <f>326+4495911.16</f>
        <v>4496237.16</v>
      </c>
      <c r="M6" s="110">
        <f>326+3012572.42</f>
        <v>3012898.42</v>
      </c>
      <c r="N6" s="110"/>
      <c r="O6" s="114"/>
      <c r="P6" s="115">
        <f>SUM(D6:O6)</f>
        <v>33297267.269999996</v>
      </c>
      <c r="Q6" s="116">
        <f>C6*Q2</f>
        <v>33675833.333333336</v>
      </c>
      <c r="R6" s="117">
        <f>P6-Q6</f>
        <v>-378566.06333333999</v>
      </c>
    </row>
    <row r="7" spans="1:19" ht="15.75">
      <c r="A7" s="359" t="s">
        <v>58</v>
      </c>
      <c r="B7" s="361">
        <v>1000000</v>
      </c>
      <c r="C7" s="363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>
        <v>39900</v>
      </c>
      <c r="K7" s="110">
        <v>13800</v>
      </c>
      <c r="L7" s="110">
        <v>33350</v>
      </c>
      <c r="M7" s="110">
        <v>23960</v>
      </c>
      <c r="N7" s="110"/>
      <c r="O7" s="114"/>
      <c r="P7" s="115">
        <f>SUM(D7:O7)</f>
        <v>801066</v>
      </c>
      <c r="Q7" s="365">
        <f>C7*Q2</f>
        <v>833333.33333333326</v>
      </c>
      <c r="R7" s="367">
        <f>P7-Q7+P8</f>
        <v>-12817.463333333253</v>
      </c>
    </row>
    <row r="8" spans="1:19" ht="15.75">
      <c r="A8" s="360"/>
      <c r="B8" s="362"/>
      <c r="C8" s="364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/>
      <c r="O8" s="114"/>
      <c r="P8" s="115">
        <f>SUM(D8:O8)</f>
        <v>19449.870000000003</v>
      </c>
      <c r="Q8" s="366"/>
      <c r="R8" s="368"/>
    </row>
    <row r="9" spans="1:19" ht="31.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>
        <f>18000+20000+3000</f>
        <v>41000</v>
      </c>
      <c r="K9" s="123">
        <f>60000+20000+4000+20000</f>
        <v>104000</v>
      </c>
      <c r="L9" s="123">
        <f>20000+20000+20000+4000</f>
        <v>64000</v>
      </c>
      <c r="M9" s="123">
        <f>20000+20000+20000</f>
        <v>60000</v>
      </c>
      <c r="N9" s="123"/>
      <c r="O9" s="124"/>
      <c r="P9" s="115">
        <f>SUM(D9:O9)</f>
        <v>634000</v>
      </c>
      <c r="Q9" s="125">
        <f>C9*Q2</f>
        <v>608333.33333333337</v>
      </c>
      <c r="R9" s="117">
        <f>P9-Q9</f>
        <v>25666.666666666628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3470088.65</v>
      </c>
      <c r="K11" s="135">
        <f t="shared" si="1"/>
        <v>3551068.01</v>
      </c>
      <c r="L11" s="135">
        <f t="shared" si="1"/>
        <v>4593587.16</v>
      </c>
      <c r="M11" s="135">
        <f t="shared" si="1"/>
        <v>3096858.42</v>
      </c>
      <c r="N11" s="135">
        <f t="shared" si="1"/>
        <v>0</v>
      </c>
      <c r="O11" s="135">
        <f t="shared" si="1"/>
        <v>0</v>
      </c>
      <c r="P11" s="136">
        <f t="shared" si="0"/>
        <v>36334442.139999993</v>
      </c>
      <c r="Q11" s="137">
        <f>SUM(Q6:Q10)</f>
        <v>35117500.000000007</v>
      </c>
      <c r="R11" s="138">
        <f>P11-Q11</f>
        <v>1216942.1399999857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расходы'!B91</f>
        <v>83137.290000000008</v>
      </c>
      <c r="E14" s="150">
        <f ca="1">'общехоз расходы'!C91</f>
        <v>139851.13</v>
      </c>
      <c r="F14" s="150">
        <f ca="1">'общехоз расходы'!D91</f>
        <v>53455.189999999995</v>
      </c>
      <c r="G14" s="150">
        <f ca="1">'общехоз расходы'!E91</f>
        <v>31300.560000000001</v>
      </c>
      <c r="H14" s="150">
        <f ca="1">'общехоз расходы'!F91</f>
        <v>122655.28</v>
      </c>
      <c r="I14" s="150">
        <f ca="1">'общехоз расходы'!G91</f>
        <v>74270.38</v>
      </c>
      <c r="J14" s="150">
        <f ca="1">'общехоз расходы'!H91</f>
        <v>51832.02</v>
      </c>
      <c r="K14" s="150">
        <f ca="1">'общехоз расходы'!I91</f>
        <v>88195.28</v>
      </c>
      <c r="L14" s="150">
        <f ca="1">'общехоз расходы'!J91</f>
        <v>44928.539999999994</v>
      </c>
      <c r="M14" s="150">
        <f ca="1">'общехоз расходы'!K91</f>
        <v>57315.130000000005</v>
      </c>
      <c r="N14" s="150">
        <f ca="1">'общехоз расходы'!L91</f>
        <v>0</v>
      </c>
      <c r="O14" s="150">
        <f ca="1">'общехоз расходы'!M91</f>
        <v>0</v>
      </c>
      <c r="P14" s="151">
        <f t="shared" si="0"/>
        <v>746940.8</v>
      </c>
      <c r="Q14" s="116">
        <f t="shared" ref="Q14:Q29" si="3">C14*$Q$2</f>
        <v>666666.66666666674</v>
      </c>
      <c r="R14" s="152">
        <f t="shared" ref="R14:R33" si="4">Q14-P14</f>
        <v>-80274.133333333302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3000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24923.34</v>
      </c>
      <c r="Q15" s="116">
        <f t="shared" si="3"/>
        <v>33333.333333333336</v>
      </c>
      <c r="R15" s="152">
        <f t="shared" si="4"/>
        <v>8409.9933333333356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12200</v>
      </c>
      <c r="K16" s="150">
        <f ca="1">'услуги связи'!I7</f>
        <v>12200</v>
      </c>
      <c r="L16" s="150">
        <f ca="1">'услуги связи'!J7</f>
        <v>13400</v>
      </c>
      <c r="M16" s="150">
        <f ca="1">'услуги связи'!K7</f>
        <v>1200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115200</v>
      </c>
      <c r="Q16" s="116">
        <f t="shared" si="3"/>
        <v>133333.33333333334</v>
      </c>
      <c r="R16" s="152">
        <f t="shared" si="4"/>
        <v>18133.333333333343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629519.74</v>
      </c>
      <c r="K17" s="150">
        <f ca="1">'з пл'!I5</f>
        <v>764008.23</v>
      </c>
      <c r="L17" s="150">
        <f ca="1">'з пл'!J5</f>
        <v>818097.48</v>
      </c>
      <c r="M17" s="150">
        <f ca="1">'з пл'!K5</f>
        <v>691867.45</v>
      </c>
      <c r="N17" s="150">
        <f ca="1">'з пл'!L5</f>
        <v>0</v>
      </c>
      <c r="O17" s="150">
        <f ca="1">'з пл'!M5</f>
        <v>0</v>
      </c>
      <c r="P17" s="115">
        <f t="shared" si="0"/>
        <v>7110622.6299999999</v>
      </c>
      <c r="Q17" s="116">
        <f t="shared" si="3"/>
        <v>6966666.666666666</v>
      </c>
      <c r="R17" s="152">
        <f t="shared" si="4"/>
        <v>-143955.96333333384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51140</v>
      </c>
      <c r="K18" s="153">
        <f ca="1">'премиальный фонд'!I5</f>
        <v>0</v>
      </c>
      <c r="L18" s="153">
        <f ca="1">'премиальный фонд'!J5</f>
        <v>40000</v>
      </c>
      <c r="M18" s="153">
        <f ca="1">'премиальный фонд'!K5</f>
        <v>10000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101140</v>
      </c>
      <c r="Q18" s="155">
        <f>B18</f>
        <v>600000</v>
      </c>
      <c r="R18" s="152">
        <f t="shared" si="4"/>
        <v>498860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187590.82000000004</v>
      </c>
      <c r="K19" s="153">
        <f ca="1">'налог с ФОТ'!I6</f>
        <v>224349.28</v>
      </c>
      <c r="L19" s="153">
        <f ca="1">'налог с ФОТ'!J6</f>
        <v>237641.47</v>
      </c>
      <c r="M19" s="153">
        <f ca="1">'налог с ФОТ'!K6</f>
        <v>375929.79000000004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2230889.96</v>
      </c>
      <c r="Q19" s="116">
        <f t="shared" si="3"/>
        <v>2250000</v>
      </c>
      <c r="R19" s="152">
        <f t="shared" si="4"/>
        <v>19110.040000000037</v>
      </c>
    </row>
    <row r="20" spans="1:22" ht="30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8430</v>
      </c>
      <c r="K20" s="153">
        <f ca="1">'приобрт инвентаря и оборуд'!I27</f>
        <v>33866</v>
      </c>
      <c r="L20" s="153">
        <f ca="1">'приобрт инвентаря и оборуд'!J27</f>
        <v>0</v>
      </c>
      <c r="M20" s="153">
        <f ca="1">'приобрт инвентаря и оборуд'!K27</f>
        <v>1400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65188</v>
      </c>
      <c r="Q20" s="116">
        <f t="shared" si="3"/>
        <v>125000</v>
      </c>
      <c r="R20" s="152">
        <f t="shared" si="4"/>
        <v>59812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445911.97</v>
      </c>
      <c r="K21" s="150">
        <f ca="1">'вывоз мусора'!I10</f>
        <v>317711.3</v>
      </c>
      <c r="L21" s="150">
        <f ca="1">'вывоз мусора'!J10</f>
        <v>300017.63</v>
      </c>
      <c r="M21" s="150">
        <f ca="1">'вывоз мусора'!K10</f>
        <v>272323.96999999997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4858834.7699999986</v>
      </c>
      <c r="Q21" s="116">
        <f t="shared" si="3"/>
        <v>4916666.666666667</v>
      </c>
      <c r="R21" s="152">
        <f t="shared" si="4"/>
        <v>57831.896666668355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600000</v>
      </c>
      <c r="K22" s="150">
        <f ca="1">'сод охраны'!I7</f>
        <v>600000</v>
      </c>
      <c r="L22" s="150">
        <f ca="1">'сод охраны'!J7</f>
        <v>600000</v>
      </c>
      <c r="M22" s="150">
        <f ca="1">'сод охраны'!K7</f>
        <v>600000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5900000</v>
      </c>
      <c r="Q22" s="116">
        <f t="shared" si="3"/>
        <v>6000000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208333.33333333331</v>
      </c>
      <c r="R23" s="152">
        <f t="shared" si="4"/>
        <v>84914.033333333311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641</v>
      </c>
      <c r="K24" s="150">
        <f ca="1">'сод сетей водоснабжения'!I31</f>
        <v>15425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125222</v>
      </c>
      <c r="Q24" s="116">
        <f t="shared" si="3"/>
        <v>250000</v>
      </c>
      <c r="R24" s="152">
        <f t="shared" si="4"/>
        <v>124778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канализация!B32</f>
        <v>18700</v>
      </c>
      <c r="E25" s="150">
        <f ca="1">канализация!C32</f>
        <v>43730</v>
      </c>
      <c r="F25" s="150">
        <f ca="1">канализация!D32</f>
        <v>51225</v>
      </c>
      <c r="G25" s="150">
        <f ca="1">канализация!E32</f>
        <v>33687</v>
      </c>
      <c r="H25" s="150">
        <f ca="1">канализация!F32</f>
        <v>16300</v>
      </c>
      <c r="I25" s="150">
        <f ca="1">канализация!G32</f>
        <v>50166.400000000001</v>
      </c>
      <c r="J25" s="150">
        <f ca="1">канализация!H32</f>
        <v>39260</v>
      </c>
      <c r="K25" s="150">
        <f ca="1">канализация!I32</f>
        <v>42486</v>
      </c>
      <c r="L25" s="150">
        <f ca="1">канализация!J32</f>
        <v>-13418.5</v>
      </c>
      <c r="M25" s="150">
        <f ca="1">канализация!K32</f>
        <v>83170</v>
      </c>
      <c r="N25" s="150">
        <f ca="1">канализация!L32</f>
        <v>0</v>
      </c>
      <c r="O25" s="150">
        <f ca="1">канализация!M32</f>
        <v>0</v>
      </c>
      <c r="P25" s="115">
        <f t="shared" si="0"/>
        <v>365305.9</v>
      </c>
      <c r="Q25" s="116">
        <f t="shared" si="3"/>
        <v>375000</v>
      </c>
      <c r="R25" s="152">
        <f t="shared" si="4"/>
        <v>9694.0999999999767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179064.23</v>
      </c>
      <c r="I26" s="150">
        <f ca="1">электроснабжение!G46</f>
        <v>100748.04999999999</v>
      </c>
      <c r="J26" s="150">
        <f ca="1">электроснабжение!H46</f>
        <v>195606.11</v>
      </c>
      <c r="K26" s="150">
        <f ca="1">электроснабжение!I46</f>
        <v>206548.12000000002</v>
      </c>
      <c r="L26" s="150">
        <f ca="1">электроснабжение!J46</f>
        <v>213098.7</v>
      </c>
      <c r="M26" s="150">
        <f ca="1">электроснабжение!K46</f>
        <v>169635.84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1430255.35</v>
      </c>
      <c r="Q26" s="116">
        <f t="shared" si="3"/>
        <v>1583333.3333333335</v>
      </c>
      <c r="R26" s="152">
        <f t="shared" si="4"/>
        <v>153077.9833333334</v>
      </c>
      <c r="V26" t="s">
        <v>66</v>
      </c>
    </row>
    <row r="27" spans="1:22" ht="30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дорог'!B45</f>
        <v>7978</v>
      </c>
      <c r="E27" s="150">
        <f ca="1">'содерж дорог'!C45</f>
        <v>33350</v>
      </c>
      <c r="F27" s="150">
        <f ca="1">'содерж дорог'!D45</f>
        <v>1300</v>
      </c>
      <c r="G27" s="150">
        <f ca="1">'содерж дорог'!E45</f>
        <v>0</v>
      </c>
      <c r="H27" s="150">
        <f ca="1">'содерж дорог'!F45</f>
        <v>111865</v>
      </c>
      <c r="I27" s="150">
        <f ca="1">'содерж дорог'!G45</f>
        <v>32420</v>
      </c>
      <c r="J27" s="150">
        <f ca="1">'содерж дорог'!H45</f>
        <v>9278</v>
      </c>
      <c r="K27" s="150">
        <f ca="1">'содерж дорог'!I45</f>
        <v>67665.959999999992</v>
      </c>
      <c r="L27" s="150">
        <f ca="1">'содерж дорог'!J45</f>
        <v>106863</v>
      </c>
      <c r="M27" s="150">
        <f ca="1">'содерж дорог'!K45</f>
        <v>24720</v>
      </c>
      <c r="N27" s="150">
        <f ca="1">'содерж дорог'!L45</f>
        <v>0</v>
      </c>
      <c r="O27" s="150">
        <f ca="1">'содерж дорог'!M45</f>
        <v>0</v>
      </c>
      <c r="P27" s="115">
        <f t="shared" si="0"/>
        <v>395439.95999999996</v>
      </c>
      <c r="Q27" s="116">
        <f t="shared" si="3"/>
        <v>250000</v>
      </c>
      <c r="R27" s="152">
        <f t="shared" si="4"/>
        <v>-145439.95999999996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4520.7</v>
      </c>
      <c r="J29" s="150">
        <f ca="1">благоустройство!H62</f>
        <v>29862.73</v>
      </c>
      <c r="K29" s="150">
        <f ca="1">благоустройство!I62</f>
        <v>381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128168.92</v>
      </c>
      <c r="Q29" s="116">
        <f t="shared" si="3"/>
        <v>250000</v>
      </c>
      <c r="R29" s="152">
        <f t="shared" si="4"/>
        <v>121831.08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>
        <f>669900+100100</f>
        <v>770000</v>
      </c>
      <c r="M30" s="150"/>
      <c r="N30" s="150"/>
      <c r="O30" s="150"/>
      <c r="P30" s="115">
        <f t="shared" si="0"/>
        <v>770000</v>
      </c>
      <c r="Q30" s="155">
        <f>B30</f>
        <v>770000</v>
      </c>
      <c r="R30" s="152">
        <f t="shared" si="4"/>
        <v>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>
        <v>231000</v>
      </c>
      <c r="N31" s="158"/>
      <c r="O31" s="158"/>
      <c r="P31" s="115">
        <f t="shared" si="0"/>
        <v>231000</v>
      </c>
      <c r="Q31" s="155">
        <f>B31</f>
        <v>230000</v>
      </c>
      <c r="R31" s="152">
        <f t="shared" si="4"/>
        <v>-1000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309560</v>
      </c>
      <c r="H33" s="150">
        <f ca="1">'резервный фонд'!F66</f>
        <v>257215</v>
      </c>
      <c r="I33" s="150">
        <f ca="1">'резервный фонд'!G66</f>
        <v>78000</v>
      </c>
      <c r="J33" s="150">
        <f ca="1">'резервный фонд'!H66</f>
        <v>189297.33000000002</v>
      </c>
      <c r="K33" s="150">
        <f ca="1">'резервный фонд'!I66</f>
        <v>399600</v>
      </c>
      <c r="L33" s="150">
        <f ca="1">'резервный фонд'!J66</f>
        <v>0</v>
      </c>
      <c r="M33" s="150">
        <f ca="1">'резервный фонд'!K66</f>
        <v>9810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1713490.33</v>
      </c>
      <c r="Q33" s="115">
        <f>C33*Q2</f>
        <v>1309166.6666666667</v>
      </c>
      <c r="R33" s="152">
        <f t="shared" si="4"/>
        <v>-404323.66333333333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2754950.57</v>
      </c>
      <c r="I34" s="151">
        <f t="shared" si="5"/>
        <v>2824771.13</v>
      </c>
      <c r="J34" s="151">
        <f t="shared" si="5"/>
        <v>2450569.7200000002</v>
      </c>
      <c r="K34" s="151">
        <f t="shared" si="5"/>
        <v>2772436.17</v>
      </c>
      <c r="L34" s="151">
        <f t="shared" si="5"/>
        <v>3130628.3200000003</v>
      </c>
      <c r="M34" s="151">
        <f t="shared" si="5"/>
        <v>2531372.1800000002</v>
      </c>
      <c r="N34" s="151">
        <f t="shared" si="5"/>
        <v>0</v>
      </c>
      <c r="O34" s="151">
        <f t="shared" si="5"/>
        <v>0</v>
      </c>
      <c r="P34" s="151">
        <f t="shared" si="5"/>
        <v>27439688.260000005</v>
      </c>
      <c r="Q34" s="151">
        <f t="shared" si="5"/>
        <v>27927500</v>
      </c>
      <c r="R34" s="151">
        <f t="shared" si="5"/>
        <v>487811.74000000127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2229432</v>
      </c>
      <c r="J35" s="151">
        <f t="shared" si="6"/>
        <v>639750</v>
      </c>
      <c r="K35" s="151">
        <f t="shared" si="6"/>
        <v>856350</v>
      </c>
      <c r="L35" s="151">
        <f t="shared" si="6"/>
        <v>0</v>
      </c>
      <c r="M35" s="151">
        <f t="shared" si="6"/>
        <v>953515</v>
      </c>
      <c r="N35" s="151">
        <f t="shared" si="6"/>
        <v>0</v>
      </c>
      <c r="O35" s="151">
        <f t="shared" si="6"/>
        <v>0</v>
      </c>
      <c r="P35" s="151">
        <f t="shared" si="6"/>
        <v>8498678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953515</v>
      </c>
      <c r="N36" s="153">
        <v>0</v>
      </c>
      <c r="O36" s="153">
        <v>0</v>
      </c>
      <c r="P36" s="151">
        <f>SUM(D36:O36)</f>
        <v>5351619</v>
      </c>
      <c r="Q36" s="155">
        <f>B36</f>
        <v>6000000</v>
      </c>
      <c r="R36" s="160">
        <f t="shared" ref="R36:R42" si="7">B36-P36</f>
        <v>648381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>
        <v>639750</v>
      </c>
      <c r="K39" s="150">
        <v>531350</v>
      </c>
      <c r="L39" s="150"/>
      <c r="M39" s="150"/>
      <c r="N39" s="150"/>
      <c r="O39" s="150"/>
      <c r="P39" s="115">
        <f>SUM(D39:O39)</f>
        <v>2450600</v>
      </c>
      <c r="Q39" s="155">
        <f>B39</f>
        <v>2500000</v>
      </c>
      <c r="R39" s="152">
        <f t="shared" si="7"/>
        <v>49400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325000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425000</v>
      </c>
      <c r="Q40" s="155">
        <f>B40</f>
        <v>500000</v>
      </c>
      <c r="R40" s="152">
        <f t="shared" si="7"/>
        <v>75000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2754950.57</v>
      </c>
      <c r="I43" s="165">
        <f t="shared" si="8"/>
        <v>5054203.13</v>
      </c>
      <c r="J43" s="165">
        <f t="shared" si="8"/>
        <v>3090319.72</v>
      </c>
      <c r="K43" s="165">
        <f t="shared" si="8"/>
        <v>3628786.17</v>
      </c>
      <c r="L43" s="165">
        <f t="shared" si="8"/>
        <v>3130628.3200000003</v>
      </c>
      <c r="M43" s="165">
        <f t="shared" si="8"/>
        <v>3484887.18</v>
      </c>
      <c r="N43" s="165">
        <f t="shared" si="8"/>
        <v>0</v>
      </c>
      <c r="O43" s="165">
        <f t="shared" si="8"/>
        <v>0</v>
      </c>
      <c r="P43" s="165">
        <f t="shared" si="8"/>
        <v>35938366.260000005</v>
      </c>
      <c r="Q43" s="165">
        <f t="shared" si="8"/>
        <v>27927500</v>
      </c>
      <c r="R43" s="165">
        <f t="shared" si="8"/>
        <v>487811.74000000127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B3:B4"/>
    <mergeCell ref="C3:C4"/>
    <mergeCell ref="D3:D4"/>
    <mergeCell ref="E3:E4"/>
    <mergeCell ref="F3:F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K6" sqref="K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>
        <v>953515</v>
      </c>
      <c r="L5" s="303"/>
      <c r="M5" s="303"/>
      <c r="N5" s="289">
        <f t="shared" si="0"/>
        <v>4651619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953515</v>
      </c>
      <c r="L17" s="248">
        <f t="shared" si="1"/>
        <v>0</v>
      </c>
      <c r="M17" s="248">
        <f t="shared" si="1"/>
        <v>0</v>
      </c>
      <c r="N17" s="248">
        <f t="shared" si="1"/>
        <v>5351619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A5" sqref="A5:IV5"/>
    </sheetView>
  </sheetViews>
  <sheetFormatPr defaultRowHeight="15"/>
  <cols>
    <col min="1" max="1" width="20" bestFit="1" customWidth="1"/>
    <col min="3" max="3" width="10.28515625" bestFit="1" customWidth="1"/>
    <col min="9" max="9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256" t="s">
        <v>322</v>
      </c>
      <c r="B5" s="240"/>
      <c r="C5" s="287"/>
      <c r="D5" s="240"/>
      <c r="E5" s="287"/>
      <c r="F5" s="287"/>
      <c r="G5" s="287"/>
      <c r="H5" s="287"/>
      <c r="I5" s="287">
        <v>325000</v>
      </c>
      <c r="J5" s="287"/>
      <c r="K5" s="287"/>
      <c r="L5" s="287"/>
      <c r="M5" s="287"/>
      <c r="N5" s="287">
        <f>SUM(B5:M5)</f>
        <v>325000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325000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425000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21" sqref="A21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271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272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281</v>
      </c>
      <c r="B13" s="229"/>
      <c r="C13" s="229"/>
      <c r="D13" s="229"/>
      <c r="E13" s="229"/>
      <c r="F13" s="229"/>
      <c r="G13" s="229">
        <v>7230</v>
      </c>
      <c r="H13" s="229"/>
      <c r="I13" s="229">
        <v>939</v>
      </c>
      <c r="J13" s="229"/>
      <c r="K13" s="229"/>
      <c r="L13" s="229"/>
      <c r="M13" s="224"/>
      <c r="N13" s="224">
        <f t="shared" si="1"/>
        <v>8169</v>
      </c>
    </row>
    <row r="14" spans="1:14">
      <c r="A14" s="245" t="s">
        <v>292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 t="s">
        <v>307</v>
      </c>
      <c r="B15" s="229"/>
      <c r="C15" s="229"/>
      <c r="D15" s="229"/>
      <c r="E15" s="229"/>
      <c r="F15" s="229"/>
      <c r="G15" s="229"/>
      <c r="H15" s="229">
        <v>7830</v>
      </c>
      <c r="I15" s="229"/>
      <c r="J15" s="229"/>
      <c r="K15" s="229"/>
      <c r="L15" s="229"/>
      <c r="M15" s="224"/>
      <c r="N15" s="229">
        <f t="shared" si="1"/>
        <v>7830</v>
      </c>
    </row>
    <row r="16" spans="1:14">
      <c r="A16" s="245" t="s">
        <v>314</v>
      </c>
      <c r="B16" s="229"/>
      <c r="C16" s="229"/>
      <c r="D16" s="229"/>
      <c r="E16" s="229"/>
      <c r="F16" s="229"/>
      <c r="G16" s="229"/>
      <c r="H16" s="229">
        <v>600</v>
      </c>
      <c r="I16" s="229"/>
      <c r="J16" s="229"/>
      <c r="K16" s="229"/>
      <c r="L16" s="229"/>
      <c r="M16" s="224"/>
      <c r="N16" s="229">
        <f t="shared" si="1"/>
        <v>600</v>
      </c>
    </row>
    <row r="17" spans="1:14">
      <c r="A17" s="245" t="s">
        <v>325</v>
      </c>
      <c r="B17" s="229"/>
      <c r="C17" s="229"/>
      <c r="D17" s="229"/>
      <c r="E17" s="229"/>
      <c r="F17" s="229"/>
      <c r="G17" s="229"/>
      <c r="H17" s="229"/>
      <c r="I17" s="229">
        <v>7897</v>
      </c>
      <c r="J17" s="229"/>
      <c r="K17" s="229"/>
      <c r="L17" s="229"/>
      <c r="M17" s="224"/>
      <c r="N17" s="229">
        <f t="shared" si="1"/>
        <v>7897</v>
      </c>
    </row>
    <row r="18" spans="1:14">
      <c r="A18" s="245" t="s">
        <v>335</v>
      </c>
      <c r="B18" s="229"/>
      <c r="C18" s="229"/>
      <c r="D18" s="229"/>
      <c r="E18" s="229"/>
      <c r="F18" s="229"/>
      <c r="G18" s="229"/>
      <c r="H18" s="229"/>
      <c r="I18" s="229">
        <v>8990</v>
      </c>
      <c r="J18" s="229"/>
      <c r="K18" s="229"/>
      <c r="L18" s="229"/>
      <c r="M18" s="224"/>
      <c r="N18" s="229">
        <f t="shared" si="1"/>
        <v>8990</v>
      </c>
    </row>
    <row r="19" spans="1:14">
      <c r="A19" s="245" t="s">
        <v>268</v>
      </c>
      <c r="B19" s="229"/>
      <c r="C19" s="229"/>
      <c r="D19" s="229"/>
      <c r="E19" s="229"/>
      <c r="F19" s="229"/>
      <c r="G19" s="229"/>
      <c r="H19" s="229"/>
      <c r="I19" s="229">
        <v>750</v>
      </c>
      <c r="J19" s="229"/>
      <c r="K19" s="229"/>
      <c r="L19" s="229"/>
      <c r="M19" s="224"/>
      <c r="N19" s="229">
        <f t="shared" si="1"/>
        <v>750</v>
      </c>
    </row>
    <row r="20" spans="1:14">
      <c r="A20" s="245" t="s">
        <v>336</v>
      </c>
      <c r="B20" s="229"/>
      <c r="C20" s="229"/>
      <c r="D20" s="229"/>
      <c r="E20" s="229"/>
      <c r="F20" s="229"/>
      <c r="G20" s="229"/>
      <c r="H20" s="229"/>
      <c r="I20" s="229">
        <v>15290</v>
      </c>
      <c r="J20" s="229"/>
      <c r="K20" s="229"/>
      <c r="L20" s="229"/>
      <c r="M20" s="224"/>
      <c r="N20" s="229">
        <f t="shared" si="1"/>
        <v>15290</v>
      </c>
    </row>
    <row r="21" spans="1:14">
      <c r="A21" s="245" t="s">
        <v>371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>
        <v>1400</v>
      </c>
      <c r="L21" s="229"/>
      <c r="M21" s="224"/>
      <c r="N21" s="229">
        <f t="shared" si="1"/>
        <v>1400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8430</v>
      </c>
      <c r="I27" s="270">
        <f t="shared" si="2"/>
        <v>33866</v>
      </c>
      <c r="J27" s="270">
        <f t="shared" si="2"/>
        <v>0</v>
      </c>
      <c r="K27" s="270">
        <f t="shared" si="2"/>
        <v>1400</v>
      </c>
      <c r="L27" s="270">
        <f t="shared" si="2"/>
        <v>0</v>
      </c>
      <c r="M27" s="270">
        <f t="shared" si="2"/>
        <v>0</v>
      </c>
      <c r="N27" s="270">
        <f>SUM(N3:N26)</f>
        <v>65188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9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70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2"/>
  <sheetViews>
    <sheetView topLeftCell="A55" workbookViewId="0">
      <selection activeCell="A81" sqref="A81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>
        <v>11000</v>
      </c>
      <c r="I4" s="230">
        <v>11000</v>
      </c>
      <c r="J4" s="229">
        <v>11000</v>
      </c>
      <c r="K4" s="229">
        <v>11000</v>
      </c>
      <c r="L4" s="229"/>
      <c r="M4" s="229"/>
      <c r="N4" s="227">
        <f t="shared" ref="N4:N27" si="0">SUM(B4:M4)</f>
        <v>110000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>
        <v>7000</v>
      </c>
      <c r="I5" s="226">
        <v>8000</v>
      </c>
      <c r="J5" s="224">
        <f>8000+1000</f>
        <v>9000</v>
      </c>
      <c r="K5" s="224">
        <v>6000</v>
      </c>
      <c r="L5" s="224"/>
      <c r="M5" s="224"/>
      <c r="N5" s="227">
        <f t="shared" si="0"/>
        <v>74000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>
        <v>5457.9</v>
      </c>
      <c r="H6" s="229">
        <v>12933.49</v>
      </c>
      <c r="I6" s="229">
        <v>3762.66</v>
      </c>
      <c r="J6" s="229">
        <v>6429.94</v>
      </c>
      <c r="K6" s="229">
        <v>4391.29</v>
      </c>
      <c r="L6" s="229"/>
      <c r="M6" s="229"/>
      <c r="N6" s="227">
        <f t="shared" si="0"/>
        <v>66800.55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>
        <v>9782</v>
      </c>
      <c r="J7" s="229"/>
      <c r="K7" s="229"/>
      <c r="L7" s="229"/>
      <c r="M7" s="229"/>
      <c r="N7" s="227">
        <f t="shared" si="0"/>
        <v>48680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/>
      <c r="M8" s="229"/>
      <c r="N8" s="227">
        <f t="shared" si="0"/>
        <v>5297.4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>
        <f>2339+2200.83</f>
        <v>4539.83</v>
      </c>
      <c r="J9" s="224">
        <v>1971.6</v>
      </c>
      <c r="K9" s="224">
        <f>2079.2</f>
        <v>2079.1999999999998</v>
      </c>
      <c r="L9" s="224"/>
      <c r="M9" s="224"/>
      <c r="N9" s="227">
        <f t="shared" si="0"/>
        <v>35369.119999999995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>
        <v>600</v>
      </c>
      <c r="J10" s="224"/>
      <c r="K10" s="224">
        <f>400+400</f>
        <v>800</v>
      </c>
      <c r="L10" s="224"/>
      <c r="M10" s="224"/>
      <c r="N10" s="227">
        <f t="shared" si="0"/>
        <v>5228.8900000000003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>
        <f>3227.53+479</f>
        <v>3706.53</v>
      </c>
      <c r="I11" s="230">
        <f>196.79+1062</f>
        <v>1258.79</v>
      </c>
      <c r="J11" s="229"/>
      <c r="K11" s="229">
        <v>3640.11</v>
      </c>
      <c r="L11" s="229"/>
      <c r="M11" s="229"/>
      <c r="N11" s="227">
        <f t="shared" si="0"/>
        <v>25641.58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>
        <v>3000</v>
      </c>
      <c r="L12" s="224"/>
      <c r="M12" s="224"/>
      <c r="N12" s="227">
        <f t="shared" si="0"/>
        <v>20250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>
        <f>97+52+27</f>
        <v>176</v>
      </c>
      <c r="J13" s="224"/>
      <c r="K13" s="224">
        <f>27+54+215</f>
        <v>296</v>
      </c>
      <c r="L13" s="224"/>
      <c r="M13" s="224"/>
      <c r="N13" s="227">
        <f>SUM(B13:M13)</f>
        <v>2077.48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 t="shared" si="0"/>
        <v>2400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 t="shared" si="0"/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90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267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268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>
        <v>1988</v>
      </c>
      <c r="K39" s="229"/>
      <c r="L39" s="229"/>
      <c r="M39" s="229"/>
      <c r="N39" s="227">
        <f t="shared" si="1"/>
        <v>7545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>
        <f>1170+780</f>
        <v>1950</v>
      </c>
      <c r="I40" s="229"/>
      <c r="J40" s="229"/>
      <c r="K40" s="229"/>
      <c r="L40" s="229"/>
      <c r="M40" s="229"/>
      <c r="N40" s="227">
        <f t="shared" si="1"/>
        <v>2900</v>
      </c>
    </row>
    <row r="41" spans="1:14">
      <c r="A41" s="234" t="s">
        <v>270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 t="s">
        <v>274</v>
      </c>
      <c r="B42" s="229"/>
      <c r="C42" s="229"/>
      <c r="D42" s="229"/>
      <c r="E42" s="229"/>
      <c r="F42" s="229"/>
      <c r="G42" s="230">
        <v>22680</v>
      </c>
      <c r="H42" s="229"/>
      <c r="I42" s="229"/>
      <c r="J42" s="229"/>
      <c r="K42" s="229"/>
      <c r="L42" s="229"/>
      <c r="M42" s="229"/>
      <c r="N42" s="227">
        <f t="shared" si="1"/>
        <v>22680</v>
      </c>
    </row>
    <row r="43" spans="1:14">
      <c r="A43" s="232" t="s">
        <v>276</v>
      </c>
      <c r="B43" s="229"/>
      <c r="C43" s="229"/>
      <c r="D43" s="229"/>
      <c r="E43" s="240"/>
      <c r="F43" s="229"/>
      <c r="G43" s="230">
        <f>3500+6910</f>
        <v>10410</v>
      </c>
      <c r="H43" s="229"/>
      <c r="I43" s="229"/>
      <c r="J43" s="229"/>
      <c r="K43" s="229"/>
      <c r="L43" s="229"/>
      <c r="M43" s="229"/>
      <c r="N43" s="227">
        <f t="shared" si="1"/>
        <v>10410</v>
      </c>
    </row>
    <row r="44" spans="1:14">
      <c r="A44" s="232" t="s">
        <v>282</v>
      </c>
      <c r="B44" s="229"/>
      <c r="C44" s="229"/>
      <c r="D44" s="229"/>
      <c r="E44" s="229"/>
      <c r="F44" s="229"/>
      <c r="G44" s="230">
        <v>990</v>
      </c>
      <c r="H44" s="229"/>
      <c r="I44" s="229"/>
      <c r="J44" s="229"/>
      <c r="K44" s="229"/>
      <c r="L44" s="229"/>
      <c r="M44" s="229"/>
      <c r="N44" s="227">
        <f t="shared" si="1"/>
        <v>990</v>
      </c>
    </row>
    <row r="45" spans="1:14">
      <c r="A45" s="232" t="s">
        <v>283</v>
      </c>
      <c r="B45" s="229"/>
      <c r="C45" s="229"/>
      <c r="D45" s="229"/>
      <c r="E45" s="229"/>
      <c r="F45" s="229"/>
      <c r="G45" s="230">
        <v>2235</v>
      </c>
      <c r="H45" s="229"/>
      <c r="I45" s="229"/>
      <c r="J45" s="229"/>
      <c r="K45" s="229"/>
      <c r="L45" s="229"/>
      <c r="M45" s="229"/>
      <c r="N45" s="227">
        <f t="shared" si="1"/>
        <v>2235</v>
      </c>
    </row>
    <row r="46" spans="1:14">
      <c r="A46" s="232" t="s">
        <v>284</v>
      </c>
      <c r="B46" s="229"/>
      <c r="C46" s="229"/>
      <c r="D46" s="229"/>
      <c r="E46" s="229"/>
      <c r="F46" s="229"/>
      <c r="G46" s="230">
        <v>540</v>
      </c>
      <c r="H46" s="229"/>
      <c r="I46" s="229"/>
      <c r="J46" s="229"/>
      <c r="K46" s="229"/>
      <c r="L46" s="229"/>
      <c r="M46" s="229"/>
      <c r="N46" s="227">
        <f t="shared" si="1"/>
        <v>540</v>
      </c>
    </row>
    <row r="47" spans="1:14">
      <c r="A47" s="232" t="s">
        <v>285</v>
      </c>
      <c r="B47" s="229"/>
      <c r="C47" s="229"/>
      <c r="D47" s="229"/>
      <c r="E47" s="229"/>
      <c r="F47" s="229"/>
      <c r="G47" s="230">
        <v>1340</v>
      </c>
      <c r="H47" s="229"/>
      <c r="I47" s="229"/>
      <c r="J47" s="229"/>
      <c r="K47" s="229"/>
      <c r="L47" s="229"/>
      <c r="M47" s="229"/>
      <c r="N47" s="227">
        <f t="shared" si="1"/>
        <v>1340</v>
      </c>
    </row>
    <row r="48" spans="1:14">
      <c r="A48" s="232" t="s">
        <v>290</v>
      </c>
      <c r="B48" s="229"/>
      <c r="C48" s="229"/>
      <c r="D48" s="229"/>
      <c r="E48" s="229"/>
      <c r="F48" s="229"/>
      <c r="G48" s="230">
        <v>259</v>
      </c>
      <c r="H48" s="229"/>
      <c r="I48" s="229"/>
      <c r="J48" s="229"/>
      <c r="K48" s="229"/>
      <c r="L48" s="229"/>
      <c r="M48" s="229"/>
      <c r="N48" s="227">
        <f t="shared" si="1"/>
        <v>259</v>
      </c>
    </row>
    <row r="49" spans="1:14">
      <c r="A49" s="232" t="s">
        <v>293</v>
      </c>
      <c r="B49" s="229"/>
      <c r="C49" s="229"/>
      <c r="D49" s="229"/>
      <c r="E49" s="240"/>
      <c r="F49" s="229"/>
      <c r="G49" s="230">
        <v>937</v>
      </c>
      <c r="H49" s="229"/>
      <c r="I49" s="229"/>
      <c r="J49" s="229"/>
      <c r="K49" s="229"/>
      <c r="L49" s="229"/>
      <c r="M49" s="229"/>
      <c r="N49" s="227">
        <f t="shared" si="1"/>
        <v>937</v>
      </c>
    </row>
    <row r="50" spans="1:14">
      <c r="A50" s="232" t="s">
        <v>294</v>
      </c>
      <c r="B50" s="229"/>
      <c r="C50" s="229"/>
      <c r="D50" s="229"/>
      <c r="E50" s="240"/>
      <c r="F50" s="229"/>
      <c r="G50" s="230">
        <v>450</v>
      </c>
      <c r="H50" s="229"/>
      <c r="I50" s="229"/>
      <c r="J50" s="229"/>
      <c r="K50" s="229"/>
      <c r="L50" s="229"/>
      <c r="M50" s="229"/>
      <c r="N50" s="227">
        <f t="shared" si="1"/>
        <v>450</v>
      </c>
    </row>
    <row r="51" spans="1:14">
      <c r="A51" s="234" t="s">
        <v>295</v>
      </c>
      <c r="B51" s="229"/>
      <c r="C51" s="229"/>
      <c r="D51" s="229"/>
      <c r="E51" s="229"/>
      <c r="F51" s="229"/>
      <c r="G51" s="230">
        <v>1400</v>
      </c>
      <c r="H51" s="229"/>
      <c r="I51" s="229"/>
      <c r="J51" s="229"/>
      <c r="K51" s="229"/>
      <c r="L51" s="229"/>
      <c r="M51" s="229"/>
      <c r="N51" s="227">
        <f t="shared" si="1"/>
        <v>1400</v>
      </c>
    </row>
    <row r="52" spans="1:14">
      <c r="A52" s="232" t="s">
        <v>308</v>
      </c>
      <c r="B52" s="229"/>
      <c r="C52" s="229"/>
      <c r="D52" s="229"/>
      <c r="E52" s="240"/>
      <c r="F52" s="229"/>
      <c r="G52" s="230"/>
      <c r="H52" s="229">
        <v>7643</v>
      </c>
      <c r="I52" s="229"/>
      <c r="J52" s="229"/>
      <c r="K52" s="229"/>
      <c r="L52" s="229"/>
      <c r="M52" s="229"/>
      <c r="N52" s="227">
        <f t="shared" si="1"/>
        <v>7643</v>
      </c>
    </row>
    <row r="53" spans="1:14">
      <c r="A53" s="232" t="s">
        <v>309</v>
      </c>
      <c r="B53" s="229"/>
      <c r="C53" s="229"/>
      <c r="D53" s="229"/>
      <c r="E53" s="240"/>
      <c r="F53" s="229"/>
      <c r="G53" s="230"/>
      <c r="H53" s="229">
        <f>8223-624</f>
        <v>7599</v>
      </c>
      <c r="I53" s="229"/>
      <c r="J53" s="229"/>
      <c r="K53" s="229"/>
      <c r="L53" s="229"/>
      <c r="M53" s="229"/>
      <c r="N53" s="227">
        <f t="shared" si="1"/>
        <v>7599</v>
      </c>
    </row>
    <row r="54" spans="1:14">
      <c r="A54" s="232" t="s">
        <v>318</v>
      </c>
      <c r="B54" s="229"/>
      <c r="C54" s="229"/>
      <c r="D54" s="229"/>
      <c r="E54" s="229"/>
      <c r="F54" s="229"/>
      <c r="G54" s="230"/>
      <c r="H54" s="229"/>
      <c r="I54" s="229">
        <v>11000</v>
      </c>
      <c r="J54" s="229"/>
      <c r="K54" s="229"/>
      <c r="L54" s="229"/>
      <c r="M54" s="229"/>
      <c r="N54" s="227">
        <f t="shared" si="1"/>
        <v>11000</v>
      </c>
    </row>
    <row r="55" spans="1:14" ht="26.25">
      <c r="A55" s="232" t="s">
        <v>326</v>
      </c>
      <c r="B55" s="229"/>
      <c r="C55" s="229"/>
      <c r="D55" s="229"/>
      <c r="E55" s="229"/>
      <c r="F55" s="229"/>
      <c r="G55" s="230"/>
      <c r="H55" s="229"/>
      <c r="I55" s="229">
        <v>21077</v>
      </c>
      <c r="J55" s="229"/>
      <c r="K55" s="229"/>
      <c r="L55" s="229"/>
      <c r="M55" s="229"/>
      <c r="N55" s="227">
        <f t="shared" si="1"/>
        <v>21077</v>
      </c>
    </row>
    <row r="56" spans="1:14">
      <c r="A56" s="232" t="s">
        <v>327</v>
      </c>
      <c r="B56" s="229"/>
      <c r="C56" s="229"/>
      <c r="D56" s="229"/>
      <c r="E56" s="229"/>
      <c r="F56" s="229"/>
      <c r="G56" s="230"/>
      <c r="H56" s="229"/>
      <c r="I56" s="229">
        <v>2239</v>
      </c>
      <c r="J56" s="229"/>
      <c r="K56" s="229"/>
      <c r="L56" s="229"/>
      <c r="M56" s="229"/>
      <c r="N56" s="227">
        <f t="shared" si="1"/>
        <v>2239</v>
      </c>
    </row>
    <row r="57" spans="1:14">
      <c r="A57" s="232" t="s">
        <v>328</v>
      </c>
      <c r="B57" s="229"/>
      <c r="C57" s="229"/>
      <c r="D57" s="229"/>
      <c r="E57" s="229"/>
      <c r="F57" s="229"/>
      <c r="G57" s="230"/>
      <c r="H57" s="229"/>
      <c r="I57" s="229">
        <v>752</v>
      </c>
      <c r="J57" s="229"/>
      <c r="K57" s="229"/>
      <c r="L57" s="229"/>
      <c r="M57" s="229"/>
      <c r="N57" s="227">
        <f t="shared" si="1"/>
        <v>752</v>
      </c>
    </row>
    <row r="58" spans="1:14">
      <c r="A58" s="232" t="s">
        <v>329</v>
      </c>
      <c r="B58" s="229"/>
      <c r="C58" s="229"/>
      <c r="D58" s="229"/>
      <c r="E58" s="229"/>
      <c r="F58" s="229"/>
      <c r="G58" s="230"/>
      <c r="H58" s="229"/>
      <c r="I58" s="229">
        <v>450</v>
      </c>
      <c r="J58" s="229"/>
      <c r="K58" s="229"/>
      <c r="L58" s="229"/>
      <c r="M58" s="229"/>
      <c r="N58" s="227">
        <f t="shared" si="1"/>
        <v>450</v>
      </c>
    </row>
    <row r="59" spans="1:14">
      <c r="A59" s="232" t="s">
        <v>330</v>
      </c>
      <c r="B59" s="229"/>
      <c r="C59" s="229"/>
      <c r="D59" s="229"/>
      <c r="E59" s="229"/>
      <c r="F59" s="229"/>
      <c r="G59" s="230"/>
      <c r="H59" s="229"/>
      <c r="I59" s="229">
        <v>9028</v>
      </c>
      <c r="J59" s="229"/>
      <c r="K59" s="229"/>
      <c r="L59" s="229"/>
      <c r="M59" s="229"/>
      <c r="N59" s="227">
        <f t="shared" si="1"/>
        <v>9028</v>
      </c>
    </row>
    <row r="60" spans="1:14">
      <c r="A60" s="232" t="s">
        <v>342</v>
      </c>
      <c r="B60" s="229"/>
      <c r="C60" s="229"/>
      <c r="D60" s="229"/>
      <c r="E60" s="229"/>
      <c r="F60" s="229"/>
      <c r="G60" s="230"/>
      <c r="H60" s="229"/>
      <c r="I60" s="229">
        <v>880</v>
      </c>
      <c r="J60" s="229"/>
      <c r="K60" s="229"/>
      <c r="L60" s="229"/>
      <c r="M60" s="229"/>
      <c r="N60" s="227">
        <f t="shared" si="1"/>
        <v>880</v>
      </c>
    </row>
    <row r="61" spans="1:14">
      <c r="A61" s="232" t="s">
        <v>343</v>
      </c>
      <c r="B61" s="229"/>
      <c r="C61" s="229"/>
      <c r="D61" s="229"/>
      <c r="E61" s="240"/>
      <c r="F61" s="229"/>
      <c r="G61" s="230"/>
      <c r="H61" s="229"/>
      <c r="I61" s="229">
        <v>250</v>
      </c>
      <c r="J61" s="229"/>
      <c r="K61" s="229"/>
      <c r="L61" s="229"/>
      <c r="M61" s="229"/>
      <c r="N61" s="227">
        <f t="shared" si="1"/>
        <v>250</v>
      </c>
    </row>
    <row r="62" spans="1:14">
      <c r="A62" s="232" t="s">
        <v>344</v>
      </c>
      <c r="B62" s="229"/>
      <c r="C62" s="229"/>
      <c r="D62" s="229"/>
      <c r="E62" s="240"/>
      <c r="F62" s="229"/>
      <c r="G62" s="230"/>
      <c r="H62" s="229"/>
      <c r="I62" s="229">
        <v>650</v>
      </c>
      <c r="J62" s="229"/>
      <c r="K62" s="229"/>
      <c r="L62" s="229"/>
      <c r="M62" s="229"/>
      <c r="N62" s="227">
        <f t="shared" si="1"/>
        <v>650</v>
      </c>
    </row>
    <row r="63" spans="1:14">
      <c r="A63" s="232" t="s">
        <v>345</v>
      </c>
      <c r="B63" s="229"/>
      <c r="C63" s="229"/>
      <c r="D63" s="229"/>
      <c r="E63" s="240"/>
      <c r="F63" s="229"/>
      <c r="G63" s="230"/>
      <c r="H63" s="229"/>
      <c r="I63" s="229">
        <v>420</v>
      </c>
      <c r="J63" s="229"/>
      <c r="K63" s="229"/>
      <c r="L63" s="229"/>
      <c r="M63" s="229"/>
      <c r="N63" s="227">
        <f t="shared" si="1"/>
        <v>420</v>
      </c>
    </row>
    <row r="64" spans="1:14">
      <c r="A64" s="232" t="s">
        <v>346</v>
      </c>
      <c r="B64" s="229"/>
      <c r="C64" s="229"/>
      <c r="D64" s="229"/>
      <c r="E64" s="240"/>
      <c r="F64" s="229"/>
      <c r="G64" s="230"/>
      <c r="H64" s="229"/>
      <c r="I64" s="229">
        <v>100</v>
      </c>
      <c r="J64" s="229"/>
      <c r="K64" s="229"/>
      <c r="L64" s="229"/>
      <c r="M64" s="229"/>
      <c r="N64" s="227">
        <f t="shared" si="1"/>
        <v>100</v>
      </c>
    </row>
    <row r="65" spans="1:14">
      <c r="A65" s="232" t="s">
        <v>347</v>
      </c>
      <c r="B65" s="229"/>
      <c r="C65" s="229"/>
      <c r="D65" s="229"/>
      <c r="E65" s="240"/>
      <c r="F65" s="229"/>
      <c r="G65" s="230"/>
      <c r="H65" s="229"/>
      <c r="I65" s="229">
        <v>670</v>
      </c>
      <c r="J65" s="229"/>
      <c r="K65" s="229"/>
      <c r="L65" s="229"/>
      <c r="M65" s="229"/>
      <c r="N65" s="227">
        <f t="shared" si="1"/>
        <v>670</v>
      </c>
    </row>
    <row r="66" spans="1:14">
      <c r="A66" s="232" t="s">
        <v>348</v>
      </c>
      <c r="B66" s="229"/>
      <c r="C66" s="229"/>
      <c r="D66" s="229"/>
      <c r="E66" s="240"/>
      <c r="F66" s="229"/>
      <c r="G66" s="230"/>
      <c r="H66" s="229"/>
      <c r="I66" s="229">
        <v>560</v>
      </c>
      <c r="J66" s="229"/>
      <c r="K66" s="229"/>
      <c r="L66" s="229"/>
      <c r="M66" s="229"/>
      <c r="N66" s="227">
        <f t="shared" si="1"/>
        <v>560</v>
      </c>
    </row>
    <row r="67" spans="1:14">
      <c r="A67" s="232" t="s">
        <v>349</v>
      </c>
      <c r="B67" s="229"/>
      <c r="C67" s="229"/>
      <c r="D67" s="229"/>
      <c r="E67" s="240"/>
      <c r="F67" s="229"/>
      <c r="G67" s="230"/>
      <c r="H67" s="229"/>
      <c r="I67" s="229">
        <v>1000</v>
      </c>
      <c r="J67" s="229"/>
      <c r="K67" s="229"/>
      <c r="L67" s="229"/>
      <c r="M67" s="229"/>
      <c r="N67" s="227">
        <f t="shared" si="1"/>
        <v>1000</v>
      </c>
    </row>
    <row r="68" spans="1:14">
      <c r="A68" s="232" t="s">
        <v>353</v>
      </c>
      <c r="B68" s="229"/>
      <c r="C68" s="229"/>
      <c r="D68" s="229"/>
      <c r="E68" s="240"/>
      <c r="F68" s="229"/>
      <c r="G68" s="230"/>
      <c r="H68" s="229"/>
      <c r="I68" s="229"/>
      <c r="J68" s="229">
        <v>731</v>
      </c>
      <c r="K68" s="229"/>
      <c r="L68" s="229"/>
      <c r="M68" s="229"/>
      <c r="N68" s="227">
        <f t="shared" si="1"/>
        <v>731</v>
      </c>
    </row>
    <row r="69" spans="1:14">
      <c r="A69" s="232" t="s">
        <v>355</v>
      </c>
      <c r="B69" s="229"/>
      <c r="C69" s="229"/>
      <c r="D69" s="229"/>
      <c r="E69" s="240"/>
      <c r="F69" s="229"/>
      <c r="G69" s="230"/>
      <c r="H69" s="229"/>
      <c r="I69" s="229"/>
      <c r="J69" s="229">
        <v>1200</v>
      </c>
      <c r="K69" s="229"/>
      <c r="L69" s="229"/>
      <c r="M69" s="229"/>
      <c r="N69" s="227">
        <f t="shared" si="1"/>
        <v>1200</v>
      </c>
    </row>
    <row r="70" spans="1:14">
      <c r="A70" s="232" t="s">
        <v>356</v>
      </c>
      <c r="B70" s="229"/>
      <c r="C70" s="229"/>
      <c r="D70" s="229"/>
      <c r="E70" s="240"/>
      <c r="F70" s="229"/>
      <c r="G70" s="230"/>
      <c r="H70" s="229"/>
      <c r="I70" s="229"/>
      <c r="J70" s="229">
        <v>550</v>
      </c>
      <c r="K70" s="229"/>
      <c r="L70" s="229"/>
      <c r="M70" s="229"/>
      <c r="N70" s="227">
        <f t="shared" si="1"/>
        <v>550</v>
      </c>
    </row>
    <row r="71" spans="1:14">
      <c r="A71" s="232" t="s">
        <v>357</v>
      </c>
      <c r="B71" s="229"/>
      <c r="C71" s="229"/>
      <c r="D71" s="229"/>
      <c r="E71" s="240"/>
      <c r="F71" s="229"/>
      <c r="G71" s="230"/>
      <c r="H71" s="229"/>
      <c r="I71" s="229"/>
      <c r="J71" s="229">
        <v>10718</v>
      </c>
      <c r="K71" s="229"/>
      <c r="L71" s="229"/>
      <c r="M71" s="229"/>
      <c r="N71" s="227">
        <f t="shared" si="1"/>
        <v>10718</v>
      </c>
    </row>
    <row r="72" spans="1:14">
      <c r="A72" s="232" t="s">
        <v>358</v>
      </c>
      <c r="B72" s="229"/>
      <c r="C72" s="229"/>
      <c r="D72" s="229"/>
      <c r="E72" s="240"/>
      <c r="F72" s="229"/>
      <c r="G72" s="230"/>
      <c r="H72" s="229"/>
      <c r="I72" s="229"/>
      <c r="J72" s="229">
        <v>1200</v>
      </c>
      <c r="K72" s="229"/>
      <c r="L72" s="229"/>
      <c r="M72" s="229"/>
      <c r="N72" s="227">
        <f t="shared" si="1"/>
        <v>1200</v>
      </c>
    </row>
    <row r="73" spans="1:14">
      <c r="A73" s="232" t="s">
        <v>359</v>
      </c>
      <c r="B73" s="229"/>
      <c r="C73" s="229"/>
      <c r="D73" s="229"/>
      <c r="E73" s="240"/>
      <c r="F73" s="229"/>
      <c r="G73" s="230"/>
      <c r="H73" s="229"/>
      <c r="I73" s="229"/>
      <c r="J73" s="229">
        <v>140</v>
      </c>
      <c r="K73" s="229"/>
      <c r="L73" s="229"/>
      <c r="M73" s="229"/>
      <c r="N73" s="227">
        <f t="shared" si="1"/>
        <v>140</v>
      </c>
    </row>
    <row r="74" spans="1:14">
      <c r="A74" s="232" t="s">
        <v>362</v>
      </c>
      <c r="B74" s="229"/>
      <c r="C74" s="229"/>
      <c r="D74" s="229"/>
      <c r="E74" s="240"/>
      <c r="F74" s="229"/>
      <c r="G74" s="230"/>
      <c r="H74" s="229"/>
      <c r="I74" s="229"/>
      <c r="J74" s="229"/>
      <c r="K74" s="229">
        <v>6545.53</v>
      </c>
      <c r="L74" s="229"/>
      <c r="M74" s="229"/>
      <c r="N74" s="227">
        <f t="shared" si="1"/>
        <v>6545.53</v>
      </c>
    </row>
    <row r="75" spans="1:14">
      <c r="A75" s="232" t="s">
        <v>367</v>
      </c>
      <c r="B75" s="229"/>
      <c r="C75" s="229"/>
      <c r="D75" s="229"/>
      <c r="E75" s="229"/>
      <c r="F75" s="229"/>
      <c r="G75" s="230"/>
      <c r="H75" s="229"/>
      <c r="I75" s="229"/>
      <c r="J75" s="229"/>
      <c r="K75" s="229">
        <f>815+554</f>
        <v>1369</v>
      </c>
      <c r="L75" s="229"/>
      <c r="M75" s="229"/>
      <c r="N75" s="227">
        <f t="shared" si="1"/>
        <v>1369</v>
      </c>
    </row>
    <row r="76" spans="1:14">
      <c r="A76" s="232" t="s">
        <v>368</v>
      </c>
      <c r="B76" s="224"/>
      <c r="C76" s="224"/>
      <c r="D76" s="224"/>
      <c r="E76" s="227"/>
      <c r="F76" s="224"/>
      <c r="G76" s="224"/>
      <c r="H76" s="224"/>
      <c r="I76" s="224"/>
      <c r="J76" s="224"/>
      <c r="K76" s="224">
        <v>1334</v>
      </c>
      <c r="L76" s="224"/>
      <c r="M76" s="224"/>
      <c r="N76" s="227">
        <f t="shared" si="1"/>
        <v>1334</v>
      </c>
    </row>
    <row r="77" spans="1:14">
      <c r="A77" s="232" t="s">
        <v>370</v>
      </c>
      <c r="B77" s="224"/>
      <c r="C77" s="224"/>
      <c r="D77" s="224"/>
      <c r="E77" s="227"/>
      <c r="F77" s="224"/>
      <c r="G77" s="224"/>
      <c r="H77" s="224"/>
      <c r="I77" s="224"/>
      <c r="J77" s="224"/>
      <c r="K77" s="224">
        <v>310</v>
      </c>
      <c r="L77" s="224"/>
      <c r="M77" s="224"/>
      <c r="N77" s="227">
        <f t="shared" si="1"/>
        <v>310</v>
      </c>
    </row>
    <row r="78" spans="1:14">
      <c r="A78" s="232" t="s">
        <v>372</v>
      </c>
      <c r="B78" s="224"/>
      <c r="C78" s="224"/>
      <c r="D78" s="224"/>
      <c r="E78" s="227"/>
      <c r="F78" s="224"/>
      <c r="G78" s="224"/>
      <c r="H78" s="224"/>
      <c r="I78" s="224"/>
      <c r="J78" s="224"/>
      <c r="K78" s="224">
        <f>1600+14950</f>
        <v>16550</v>
      </c>
      <c r="L78" s="224"/>
      <c r="M78" s="224"/>
      <c r="N78" s="227">
        <f t="shared" si="1"/>
        <v>16550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32"/>
      <c r="B85" s="224"/>
      <c r="C85" s="224"/>
      <c r="D85" s="224"/>
      <c r="E85" s="227"/>
      <c r="F85" s="224"/>
      <c r="G85" s="224"/>
      <c r="H85" s="224"/>
      <c r="I85" s="224"/>
      <c r="J85" s="224"/>
      <c r="K85" s="224"/>
      <c r="L85" s="224"/>
      <c r="M85" s="224"/>
      <c r="N85" s="227">
        <f t="shared" si="1"/>
        <v>0</v>
      </c>
    </row>
    <row r="86" spans="1:14">
      <c r="A86" s="232"/>
      <c r="B86" s="224"/>
      <c r="C86" s="224"/>
      <c r="D86" s="224"/>
      <c r="E86" s="227"/>
      <c r="F86" s="224"/>
      <c r="G86" s="224"/>
      <c r="H86" s="224"/>
      <c r="I86" s="224"/>
      <c r="J86" s="224"/>
      <c r="K86" s="224"/>
      <c r="L86" s="224"/>
      <c r="M86" s="224"/>
      <c r="N86" s="227">
        <f t="shared" si="1"/>
        <v>0</v>
      </c>
    </row>
    <row r="87" spans="1:14">
      <c r="A87" s="232"/>
      <c r="B87" s="224"/>
      <c r="C87" s="224"/>
      <c r="D87" s="224"/>
      <c r="E87" s="227"/>
      <c r="F87" s="224"/>
      <c r="G87" s="224"/>
      <c r="H87" s="224"/>
      <c r="I87" s="224"/>
      <c r="J87" s="224"/>
      <c r="K87" s="224"/>
      <c r="L87" s="224"/>
      <c r="M87" s="224"/>
      <c r="N87" s="227">
        <f t="shared" si="1"/>
        <v>0</v>
      </c>
    </row>
    <row r="88" spans="1:14">
      <c r="A88" s="232"/>
      <c r="B88" s="224"/>
      <c r="C88" s="224"/>
      <c r="D88" s="224"/>
      <c r="E88" s="227"/>
      <c r="F88" s="224"/>
      <c r="G88" s="224"/>
      <c r="H88" s="224"/>
      <c r="I88" s="224"/>
      <c r="J88" s="224"/>
      <c r="K88" s="224"/>
      <c r="L88" s="224"/>
      <c r="M88" s="224"/>
      <c r="N88" s="227">
        <f t="shared" si="1"/>
        <v>0</v>
      </c>
    </row>
    <row r="89" spans="1:14">
      <c r="A89" s="232"/>
      <c r="B89" s="224"/>
      <c r="C89" s="224"/>
      <c r="D89" s="224"/>
      <c r="E89" s="227"/>
      <c r="F89" s="224"/>
      <c r="G89" s="224"/>
      <c r="H89" s="224"/>
      <c r="I89" s="224"/>
      <c r="J89" s="224"/>
      <c r="K89" s="224"/>
      <c r="L89" s="224"/>
      <c r="M89" s="224"/>
      <c r="N89" s="227">
        <f t="shared" si="1"/>
        <v>0</v>
      </c>
    </row>
    <row r="90" spans="1:14">
      <c r="A90" s="241"/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27">
        <f t="shared" si="1"/>
        <v>0</v>
      </c>
    </row>
    <row r="91" spans="1:14">
      <c r="A91" s="214" t="s">
        <v>104</v>
      </c>
      <c r="B91" s="247">
        <f t="shared" ref="B91:N91" si="2">SUM(B1:B90)</f>
        <v>83137.290000000008</v>
      </c>
      <c r="C91" s="247">
        <f t="shared" si="2"/>
        <v>139851.13</v>
      </c>
      <c r="D91" s="247">
        <f t="shared" si="2"/>
        <v>53455.189999999995</v>
      </c>
      <c r="E91" s="247">
        <f t="shared" si="2"/>
        <v>31300.560000000001</v>
      </c>
      <c r="F91" s="247">
        <f t="shared" si="2"/>
        <v>122655.28</v>
      </c>
      <c r="G91" s="247">
        <f t="shared" si="2"/>
        <v>74270.38</v>
      </c>
      <c r="H91" s="247">
        <f t="shared" si="2"/>
        <v>51832.02</v>
      </c>
      <c r="I91" s="247">
        <f t="shared" si="2"/>
        <v>88195.28</v>
      </c>
      <c r="J91" s="247">
        <f t="shared" si="2"/>
        <v>44928.539999999994</v>
      </c>
      <c r="K91" s="247">
        <f t="shared" si="2"/>
        <v>57315.130000000005</v>
      </c>
      <c r="L91" s="247">
        <f t="shared" si="2"/>
        <v>0</v>
      </c>
      <c r="M91" s="247">
        <f t="shared" si="2"/>
        <v>0</v>
      </c>
      <c r="N91" s="248">
        <f t="shared" si="2"/>
        <v>746940.8</v>
      </c>
    </row>
    <row r="92" spans="1:14">
      <c r="N92" s="96">
        <f>SUM(B91:M91)-N91</f>
        <v>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K6" sqref="K6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>
        <v>3000</v>
      </c>
      <c r="L5" s="229"/>
      <c r="M5" s="229"/>
      <c r="N5" s="224">
        <f t="shared" si="0"/>
        <v>13400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3000</v>
      </c>
      <c r="L10" s="254">
        <f t="shared" si="1"/>
        <v>0</v>
      </c>
      <c r="M10" s="254">
        <f t="shared" si="1"/>
        <v>0</v>
      </c>
      <c r="N10" s="254">
        <f t="shared" si="1"/>
        <v>24923.34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K5" sqref="K5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>
        <v>1200</v>
      </c>
      <c r="I4" s="229">
        <v>1200</v>
      </c>
      <c r="J4" s="229">
        <f>1200+1200</f>
        <v>2400</v>
      </c>
      <c r="K4" s="229">
        <v>1200</v>
      </c>
      <c r="L4" s="229"/>
      <c r="M4" s="229"/>
      <c r="N4" s="229">
        <f>SUM(B4:M4)</f>
        <v>11200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>
        <v>10000</v>
      </c>
      <c r="I5" s="229">
        <v>10000</v>
      </c>
      <c r="J5" s="229">
        <v>10000</v>
      </c>
      <c r="K5" s="229"/>
      <c r="L5" s="229"/>
      <c r="M5" s="229"/>
      <c r="N5" s="229">
        <f>SUM(B5:M5)</f>
        <v>90000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>
        <v>1000</v>
      </c>
      <c r="I6" s="229">
        <v>1000</v>
      </c>
      <c r="J6" s="229">
        <v>1000</v>
      </c>
      <c r="K6" s="229"/>
      <c r="L6" s="229"/>
      <c r="M6" s="229"/>
      <c r="N6" s="229">
        <f>SUM(B6:M6)</f>
        <v>9000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12200</v>
      </c>
      <c r="I7" s="254">
        <f t="shared" si="0"/>
        <v>12200</v>
      </c>
      <c r="J7" s="254">
        <f t="shared" si="0"/>
        <v>13400</v>
      </c>
      <c r="K7" s="254">
        <f t="shared" si="0"/>
        <v>1200</v>
      </c>
      <c r="L7" s="254">
        <f t="shared" si="0"/>
        <v>0</v>
      </c>
      <c r="M7" s="254">
        <f t="shared" si="0"/>
        <v>0</v>
      </c>
      <c r="N7" s="258">
        <f>SUM(N3:N6)</f>
        <v>115200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K4" sqref="K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>
        <f>3468.57+138060+22200+73731.62+19056.76+30022.81+11757.76+65084+519+5900+36800+36800+18500+16000+86366.78+28312.44+6940</f>
        <v>599519.74</v>
      </c>
      <c r="I3" s="243">
        <f>43240+242615.96+42187.27+88403+16008+40372+220462+40720</f>
        <v>734008.23</v>
      </c>
      <c r="J3" s="243">
        <f>14698.12+49305+605+16008+280340.16+124987+4049.65+64930.91+184779.87+40800.39+3887.38+3188+518</f>
        <v>788097.48</v>
      </c>
      <c r="K3" s="243">
        <f>18794+16008+14727+269846.41+87112.4+60823.64+30015+164541</f>
        <v>661867.44999999995</v>
      </c>
      <c r="L3" s="243"/>
      <c r="M3" s="243"/>
      <c r="N3" s="261">
        <f>SUM(B3:M3)</f>
        <v>6810622.6299999999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>
        <f>30000</f>
        <v>30000</v>
      </c>
      <c r="I4" s="246">
        <v>30000</v>
      </c>
      <c r="J4" s="245">
        <v>30000</v>
      </c>
      <c r="K4" s="245">
        <v>30000</v>
      </c>
      <c r="L4" s="245"/>
      <c r="M4" s="245"/>
      <c r="N4" s="261">
        <f>SUM(B4:M4)</f>
        <v>300000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629519.74</v>
      </c>
      <c r="I5" s="263">
        <f t="shared" si="0"/>
        <v>764008.23</v>
      </c>
      <c r="J5" s="263">
        <f t="shared" si="0"/>
        <v>818097.48</v>
      </c>
      <c r="K5" s="263">
        <f t="shared" si="0"/>
        <v>691867.45</v>
      </c>
      <c r="L5" s="263">
        <f t="shared" si="0"/>
        <v>0</v>
      </c>
      <c r="M5" s="263">
        <f t="shared" si="0"/>
        <v>0</v>
      </c>
      <c r="N5" s="263">
        <f t="shared" si="0"/>
        <v>7110622.6299999999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K4" sqref="K4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>
        <f>46270+4870</f>
        <v>51140</v>
      </c>
      <c r="I3" s="229"/>
      <c r="J3" s="229">
        <f>5000+25000+10000</f>
        <v>40000</v>
      </c>
      <c r="K3" s="229">
        <v>10000</v>
      </c>
      <c r="L3" s="229"/>
      <c r="M3" s="229"/>
      <c r="N3" s="229">
        <f>SUM(B3:M3)</f>
        <v>101140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51140</v>
      </c>
      <c r="I5" s="247">
        <f t="shared" si="0"/>
        <v>0</v>
      </c>
      <c r="J5" s="247">
        <f t="shared" si="0"/>
        <v>40000</v>
      </c>
      <c r="K5" s="247">
        <f t="shared" si="0"/>
        <v>10000</v>
      </c>
      <c r="L5" s="247">
        <f t="shared" si="0"/>
        <v>0</v>
      </c>
      <c r="M5" s="247">
        <f t="shared" si="0"/>
        <v>0</v>
      </c>
      <c r="N5" s="247">
        <f>SUM(N3:N4)</f>
        <v>101140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K3" sqref="K3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>
        <f>144846.89+14496.76+1353.17+26394+500</f>
        <v>187590.82000000004</v>
      </c>
      <c r="I3" s="245">
        <f>175598.59+17989.59+1596.35+29164.75</f>
        <v>224349.28</v>
      </c>
      <c r="J3" s="245">
        <f>1573.78+236067.69</f>
        <v>237641.47</v>
      </c>
      <c r="K3" s="245">
        <f>3200.56+89979+249084.23+33666</f>
        <v>375929.79000000004</v>
      </c>
      <c r="L3" s="245"/>
      <c r="M3" s="245"/>
      <c r="N3" s="243">
        <f>SUM(B3:M3)</f>
        <v>2230889.96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187590.82000000004</v>
      </c>
      <c r="I6" s="263">
        <f t="shared" si="0"/>
        <v>224349.28</v>
      </c>
      <c r="J6" s="263">
        <f t="shared" si="0"/>
        <v>237641.47</v>
      </c>
      <c r="K6" s="263">
        <f t="shared" si="0"/>
        <v>375929.79000000004</v>
      </c>
      <c r="L6" s="263">
        <f t="shared" si="0"/>
        <v>0</v>
      </c>
      <c r="M6" s="263">
        <f t="shared" si="0"/>
        <v>0</v>
      </c>
      <c r="N6" s="263">
        <f t="shared" si="0"/>
        <v>2230889.96</v>
      </c>
    </row>
    <row r="8" spans="1:14">
      <c r="N8" s="255">
        <f>SUM(B6:M6)-N6</f>
        <v>0</v>
      </c>
    </row>
    <row r="9" spans="1:14" ht="15.75" hidden="1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</row>
    <row r="10" spans="1:14" ht="15.75" hidden="1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2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2023-04-04T10:23:00Z</dcterms:modified>
</cp:coreProperties>
</file>