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Marina\Desktop\"/>
    </mc:Choice>
  </mc:AlternateContent>
  <xr:revisionPtr revIDLastSave="0" documentId="13_ncr:1_{803798BF-EB52-4C11-B612-7344C73DEDC4}" xr6:coauthVersionLast="47" xr6:coauthVersionMax="47" xr10:uidLastSave="{00000000-0000-0000-0000-000000000000}"/>
  <bookViews>
    <workbookView xWindow="-120" yWindow="-120" windowWidth="25440" windowHeight="15390" tabRatio="1000" firstSheet="1" activeTab="1" xr2:uid="{00000000-000D-0000-FFFF-FFFF00000000}"/>
  </bookViews>
  <sheets>
    <sheet name="ВСЕ затраты за 6 мес." sheetId="1" state="hidden" r:id="rId1"/>
    <sheet name="ВСЕ затраты" sheetId="2" r:id="rId2"/>
    <sheet name="ВСЕ затраты в 2016-2017 гг (2)" sheetId="3" state="hidden" r:id="rId3"/>
    <sheet name="общехоз расходы" sheetId="4" r:id="rId4"/>
    <sheet name="программ обеспечение" sheetId="5" r:id="rId5"/>
    <sheet name="услуги связи" sheetId="6" r:id="rId6"/>
    <sheet name="з пл" sheetId="7" r:id="rId7"/>
    <sheet name="премиальный фонд" sheetId="8" r:id="rId8"/>
    <sheet name="налог с ФОТ" sheetId="9" r:id="rId9"/>
    <sheet name="инвентарь" sheetId="10" r:id="rId10"/>
    <sheet name="мусор" sheetId="12" r:id="rId11"/>
    <sheet name="газ" sheetId="13" r:id="rId12"/>
    <sheet name="вода" sheetId="14" r:id="rId13"/>
    <sheet name="канализация" sheetId="15" r:id="rId14"/>
    <sheet name="электроснабжение" sheetId="16" r:id="rId15"/>
    <sheet name="дор и терр" sheetId="17" r:id="rId16"/>
    <sheet name="благоустройство" sheetId="19" r:id="rId17"/>
    <sheet name="резервный фонд" sheetId="20" r:id="rId18"/>
  </sheets>
  <definedNames>
    <definedName name="_xlnm.Print_Area" localSheetId="1">'ВСЕ затраты'!$A$1:$R$48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20" l="1"/>
  <c r="N5" i="20"/>
  <c r="C9" i="4"/>
  <c r="C6" i="17"/>
  <c r="C5" i="4" l="1"/>
  <c r="C3" i="9"/>
  <c r="C3" i="7"/>
  <c r="C3" i="14"/>
  <c r="C22" i="4" l="1"/>
  <c r="E39" i="2"/>
  <c r="E6" i="2" l="1"/>
  <c r="C5" i="16"/>
  <c r="E9" i="2"/>
  <c r="N14" i="4" l="1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B9" i="4" l="1"/>
  <c r="B9" i="19"/>
  <c r="B16" i="4"/>
  <c r="N16" i="4" s="1"/>
  <c r="B5" i="4" l="1"/>
  <c r="B3" i="7"/>
  <c r="B3" i="9"/>
  <c r="B15" i="4"/>
  <c r="N15" i="4" s="1"/>
  <c r="N25" i="19"/>
  <c r="N26" i="19"/>
  <c r="N27" i="19"/>
  <c r="N28" i="19"/>
  <c r="N29" i="19"/>
  <c r="N30" i="19"/>
  <c r="D30" i="2"/>
  <c r="B5" i="16"/>
  <c r="D6" i="2"/>
  <c r="D9" i="2"/>
  <c r="Q37" i="2" l="1"/>
  <c r="Q44" i="2"/>
  <c r="P44" i="2"/>
  <c r="R44" i="2" s="1"/>
  <c r="B36" i="2"/>
  <c r="Q36" i="2" s="1"/>
  <c r="Q43" i="2"/>
  <c r="P43" i="2"/>
  <c r="R43" i="2" s="1"/>
  <c r="Q39" i="2"/>
  <c r="P32" i="2"/>
  <c r="B32" i="2"/>
  <c r="Q32" i="2" s="1"/>
  <c r="R32" i="2" s="1"/>
  <c r="N25" i="16"/>
  <c r="N26" i="16"/>
  <c r="N27" i="16"/>
  <c r="N28" i="16"/>
  <c r="N29" i="16"/>
  <c r="N30" i="16"/>
  <c r="N4" i="7"/>
  <c r="N26" i="20"/>
  <c r="F66" i="20"/>
  <c r="H34" i="2" s="1"/>
  <c r="B66" i="20"/>
  <c r="D34" i="2" s="1"/>
  <c r="C66" i="20"/>
  <c r="E34" i="2" s="1"/>
  <c r="D66" i="20"/>
  <c r="K31" i="1" s="1"/>
  <c r="E66" i="20"/>
  <c r="G34" i="2" s="1"/>
  <c r="G66" i="20"/>
  <c r="I34" i="2" s="1"/>
  <c r="H66" i="20"/>
  <c r="J34" i="2" s="1"/>
  <c r="I66" i="20"/>
  <c r="K34" i="2" s="1"/>
  <c r="J66" i="20"/>
  <c r="L34" i="2" s="1"/>
  <c r="K66" i="20"/>
  <c r="M34" i="2" s="1"/>
  <c r="L66" i="20"/>
  <c r="N34" i="2" s="1"/>
  <c r="M66" i="20"/>
  <c r="O34" i="2" s="1"/>
  <c r="B38" i="17"/>
  <c r="D27" i="2" s="1"/>
  <c r="C38" i="17"/>
  <c r="E27" i="2" s="1"/>
  <c r="D38" i="17"/>
  <c r="F27" i="2" s="1"/>
  <c r="E38" i="17"/>
  <c r="G27" i="2" s="1"/>
  <c r="F38" i="17"/>
  <c r="H27" i="2" s="1"/>
  <c r="G38" i="17"/>
  <c r="I27" i="2" s="1"/>
  <c r="H38" i="17"/>
  <c r="J27" i="2" s="1"/>
  <c r="I38" i="17"/>
  <c r="K27" i="2" s="1"/>
  <c r="J38" i="17"/>
  <c r="L27" i="2" s="1"/>
  <c r="K38" i="17"/>
  <c r="M27" i="2" s="1"/>
  <c r="L38" i="17"/>
  <c r="N27" i="2" s="1"/>
  <c r="M38" i="17"/>
  <c r="O27" i="2" s="1"/>
  <c r="G1" i="4"/>
  <c r="G94" i="4" s="1"/>
  <c r="I14" i="2" s="1"/>
  <c r="P31" i="2"/>
  <c r="P33" i="2"/>
  <c r="Q38" i="2"/>
  <c r="P38" i="2"/>
  <c r="R38" i="2" s="1"/>
  <c r="M6" i="7"/>
  <c r="O17" i="2" s="1"/>
  <c r="N32" i="15"/>
  <c r="N33" i="15"/>
  <c r="N34" i="15"/>
  <c r="N35" i="15"/>
  <c r="O11" i="2"/>
  <c r="N54" i="19"/>
  <c r="N53" i="19"/>
  <c r="N28" i="20"/>
  <c r="N26" i="15"/>
  <c r="N49" i="19"/>
  <c r="N47" i="19"/>
  <c r="N46" i="19"/>
  <c r="N19" i="20"/>
  <c r="N18" i="20"/>
  <c r="N11" i="2"/>
  <c r="N31" i="15"/>
  <c r="N36" i="15"/>
  <c r="N10" i="15"/>
  <c r="N11" i="15"/>
  <c r="N5" i="9"/>
  <c r="K94" i="4"/>
  <c r="M14" i="2" s="1"/>
  <c r="K49" i="16"/>
  <c r="M26" i="2" s="1"/>
  <c r="N12" i="15"/>
  <c r="P30" i="2"/>
  <c r="P9" i="2"/>
  <c r="J7" i="6"/>
  <c r="L16" i="2" s="1"/>
  <c r="N5" i="17"/>
  <c r="I49" i="16"/>
  <c r="K26" i="2" s="1"/>
  <c r="N22" i="15"/>
  <c r="H94" i="4"/>
  <c r="J14" i="2" s="1"/>
  <c r="P8" i="2"/>
  <c r="N9" i="15"/>
  <c r="N7" i="15"/>
  <c r="H6" i="7"/>
  <c r="J17" i="2" s="1"/>
  <c r="N7" i="20"/>
  <c r="Q18" i="2"/>
  <c r="N21" i="15"/>
  <c r="N23" i="15"/>
  <c r="N24" i="15"/>
  <c r="N25" i="15"/>
  <c r="N27" i="15"/>
  <c r="N28" i="15"/>
  <c r="E49" i="16"/>
  <c r="G26" i="2" s="1"/>
  <c r="N3" i="6"/>
  <c r="B7" i="6"/>
  <c r="D16" i="2" s="1"/>
  <c r="D7" i="6"/>
  <c r="F16" i="2" s="1"/>
  <c r="F7" i="6"/>
  <c r="H16" i="2" s="1"/>
  <c r="G7" i="6"/>
  <c r="I16" i="2" s="1"/>
  <c r="H7" i="6"/>
  <c r="J16" i="2" s="1"/>
  <c r="I7" i="6"/>
  <c r="K16" i="2" s="1"/>
  <c r="K7" i="6"/>
  <c r="M16" i="2" s="1"/>
  <c r="L7" i="6"/>
  <c r="N16" i="2" s="1"/>
  <c r="M7" i="6"/>
  <c r="O16" i="2" s="1"/>
  <c r="E7" i="6"/>
  <c r="G16" i="2" s="1"/>
  <c r="D49" i="16"/>
  <c r="F26" i="2" s="1"/>
  <c r="F11" i="2"/>
  <c r="D38" i="15"/>
  <c r="F25" i="2" s="1"/>
  <c r="N6" i="17"/>
  <c r="N7" i="17"/>
  <c r="N8" i="17"/>
  <c r="N7" i="4"/>
  <c r="C7" i="6"/>
  <c r="E16" i="2" s="1"/>
  <c r="N5" i="16"/>
  <c r="N65" i="20"/>
  <c r="N64" i="20"/>
  <c r="N63" i="20"/>
  <c r="N62" i="20"/>
  <c r="N61" i="20"/>
  <c r="N60" i="20"/>
  <c r="N59" i="20"/>
  <c r="N58" i="20"/>
  <c r="N57" i="20"/>
  <c r="N56" i="20"/>
  <c r="N55" i="20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7" i="20"/>
  <c r="N25" i="20"/>
  <c r="N24" i="20"/>
  <c r="N23" i="20"/>
  <c r="N22" i="20"/>
  <c r="N21" i="20"/>
  <c r="N20" i="20"/>
  <c r="N17" i="20"/>
  <c r="N16" i="20"/>
  <c r="N15" i="20"/>
  <c r="N14" i="20"/>
  <c r="N13" i="20"/>
  <c r="N11" i="20"/>
  <c r="N10" i="20"/>
  <c r="N9" i="20"/>
  <c r="N8" i="20"/>
  <c r="N4" i="20"/>
  <c r="N3" i="20"/>
  <c r="G1" i="20"/>
  <c r="M64" i="19"/>
  <c r="O29" i="2" s="1"/>
  <c r="B64" i="19"/>
  <c r="D29" i="2" s="1"/>
  <c r="D64" i="19"/>
  <c r="F29" i="2" s="1"/>
  <c r="E64" i="19"/>
  <c r="F64" i="19"/>
  <c r="H29" i="2" s="1"/>
  <c r="G64" i="19"/>
  <c r="I29" i="2" s="1"/>
  <c r="H64" i="19"/>
  <c r="J29" i="2" s="1"/>
  <c r="I64" i="19"/>
  <c r="K29" i="2" s="1"/>
  <c r="J64" i="19"/>
  <c r="L29" i="2" s="1"/>
  <c r="K64" i="19"/>
  <c r="M29" i="2" s="1"/>
  <c r="L64" i="19"/>
  <c r="N29" i="2" s="1"/>
  <c r="N63" i="19"/>
  <c r="N62" i="19"/>
  <c r="N61" i="19"/>
  <c r="N60" i="19"/>
  <c r="N59" i="19"/>
  <c r="N58" i="19"/>
  <c r="N57" i="19"/>
  <c r="N56" i="19"/>
  <c r="N55" i="19"/>
  <c r="N52" i="19"/>
  <c r="N51" i="19"/>
  <c r="N50" i="19"/>
  <c r="N48" i="19"/>
  <c r="N45" i="19"/>
  <c r="N44" i="19"/>
  <c r="N43" i="19"/>
  <c r="N42" i="19"/>
  <c r="N41" i="19"/>
  <c r="N40" i="19"/>
  <c r="N39" i="19"/>
  <c r="N38" i="19"/>
  <c r="N37" i="19"/>
  <c r="N36" i="19"/>
  <c r="N35" i="19"/>
  <c r="N34" i="19"/>
  <c r="N33" i="19"/>
  <c r="N32" i="19"/>
  <c r="N31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8" i="19"/>
  <c r="N7" i="19"/>
  <c r="N6" i="19"/>
  <c r="N5" i="19"/>
  <c r="N4" i="19"/>
  <c r="G1" i="19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4" i="17"/>
  <c r="G1" i="17"/>
  <c r="M49" i="16"/>
  <c r="O26" i="2" s="1"/>
  <c r="L49" i="16"/>
  <c r="N26" i="2" s="1"/>
  <c r="J49" i="16"/>
  <c r="L26" i="2" s="1"/>
  <c r="G49" i="16"/>
  <c r="I26" i="2" s="1"/>
  <c r="F49" i="16"/>
  <c r="H26" i="2" s="1"/>
  <c r="N48" i="16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B49" i="16"/>
  <c r="N9" i="16"/>
  <c r="N8" i="16"/>
  <c r="N7" i="16"/>
  <c r="N6" i="16"/>
  <c r="N4" i="16"/>
  <c r="G1" i="16"/>
  <c r="M38" i="15"/>
  <c r="O25" i="2" s="1"/>
  <c r="L38" i="15"/>
  <c r="N25" i="2" s="1"/>
  <c r="K38" i="15"/>
  <c r="M25" i="2" s="1"/>
  <c r="J38" i="15"/>
  <c r="L25" i="2" s="1"/>
  <c r="I38" i="15"/>
  <c r="K25" i="2" s="1"/>
  <c r="H38" i="15"/>
  <c r="J25" i="2" s="1"/>
  <c r="G38" i="15"/>
  <c r="I25" i="2" s="1"/>
  <c r="F38" i="15"/>
  <c r="H25" i="2" s="1"/>
  <c r="E38" i="15"/>
  <c r="G25" i="2" s="1"/>
  <c r="C38" i="15"/>
  <c r="E25" i="2" s="1"/>
  <c r="B38" i="15"/>
  <c r="D25" i="2" s="1"/>
  <c r="N37" i="15"/>
  <c r="N30" i="15"/>
  <c r="N29" i="15"/>
  <c r="N20" i="15"/>
  <c r="N19" i="15"/>
  <c r="N18" i="15"/>
  <c r="N17" i="15"/>
  <c r="N16" i="15"/>
  <c r="N15" i="15"/>
  <c r="N14" i="15"/>
  <c r="N13" i="15"/>
  <c r="N8" i="15"/>
  <c r="N6" i="15"/>
  <c r="N5" i="15"/>
  <c r="N3" i="15"/>
  <c r="G1" i="15"/>
  <c r="M30" i="14"/>
  <c r="O24" i="2" s="1"/>
  <c r="L30" i="14"/>
  <c r="N24" i="2" s="1"/>
  <c r="K30" i="14"/>
  <c r="M24" i="2" s="1"/>
  <c r="J30" i="14"/>
  <c r="L24" i="2" s="1"/>
  <c r="I30" i="14"/>
  <c r="K24" i="2" s="1"/>
  <c r="H30" i="14"/>
  <c r="J24" i="2" s="1"/>
  <c r="G30" i="14"/>
  <c r="I24" i="2" s="1"/>
  <c r="F30" i="14"/>
  <c r="H24" i="2" s="1"/>
  <c r="E30" i="14"/>
  <c r="G24" i="2" s="1"/>
  <c r="D30" i="14"/>
  <c r="F24" i="2" s="1"/>
  <c r="C30" i="14"/>
  <c r="E24" i="2" s="1"/>
  <c r="B30" i="14"/>
  <c r="D24" i="2" s="1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4" i="14"/>
  <c r="N3" i="14"/>
  <c r="G1" i="14"/>
  <c r="M6" i="13"/>
  <c r="O23" i="2" s="1"/>
  <c r="L6" i="13"/>
  <c r="N23" i="2" s="1"/>
  <c r="K6" i="13"/>
  <c r="M23" i="2" s="1"/>
  <c r="J6" i="13"/>
  <c r="L23" i="2" s="1"/>
  <c r="I6" i="13"/>
  <c r="K23" i="2" s="1"/>
  <c r="H6" i="13"/>
  <c r="J23" i="2" s="1"/>
  <c r="G6" i="13"/>
  <c r="I23" i="2" s="1"/>
  <c r="F6" i="13"/>
  <c r="H23" i="2" s="1"/>
  <c r="E6" i="13"/>
  <c r="G23" i="2" s="1"/>
  <c r="D6" i="13"/>
  <c r="F23" i="2" s="1"/>
  <c r="C6" i="13"/>
  <c r="E23" i="2" s="1"/>
  <c r="B6" i="13"/>
  <c r="D23" i="2" s="1"/>
  <c r="N5" i="13"/>
  <c r="N4" i="13"/>
  <c r="N3" i="13"/>
  <c r="G1" i="13"/>
  <c r="M10" i="12"/>
  <c r="O21" i="2" s="1"/>
  <c r="L10" i="12"/>
  <c r="N21" i="2" s="1"/>
  <c r="K10" i="12"/>
  <c r="M21" i="2" s="1"/>
  <c r="J10" i="12"/>
  <c r="L21" i="2" s="1"/>
  <c r="I10" i="12"/>
  <c r="K21" i="2" s="1"/>
  <c r="H10" i="12"/>
  <c r="J21" i="2" s="1"/>
  <c r="G10" i="12"/>
  <c r="I21" i="2" s="1"/>
  <c r="F10" i="12"/>
  <c r="H21" i="2" s="1"/>
  <c r="E10" i="12"/>
  <c r="G21" i="2" s="1"/>
  <c r="D10" i="12"/>
  <c r="F21" i="2" s="1"/>
  <c r="K20" i="1"/>
  <c r="C10" i="12"/>
  <c r="E21" i="2" s="1"/>
  <c r="B10" i="12"/>
  <c r="D21" i="2" s="1"/>
  <c r="N9" i="12"/>
  <c r="N8" i="12"/>
  <c r="N7" i="12"/>
  <c r="N6" i="12"/>
  <c r="N5" i="12"/>
  <c r="N4" i="12"/>
  <c r="N3" i="12"/>
  <c r="G1" i="12"/>
  <c r="N21" i="1"/>
  <c r="M27" i="10"/>
  <c r="O20" i="2" s="1"/>
  <c r="L27" i="10"/>
  <c r="N20" i="2" s="1"/>
  <c r="K27" i="10"/>
  <c r="M20" i="2" s="1"/>
  <c r="J27" i="10"/>
  <c r="L20" i="2" s="1"/>
  <c r="I27" i="10"/>
  <c r="K20" i="2" s="1"/>
  <c r="H27" i="10"/>
  <c r="J20" i="2" s="1"/>
  <c r="G27" i="10"/>
  <c r="I20" i="2" s="1"/>
  <c r="F27" i="10"/>
  <c r="H20" i="2" s="1"/>
  <c r="E27" i="10"/>
  <c r="G20" i="2" s="1"/>
  <c r="D27" i="10"/>
  <c r="F20" i="2" s="1"/>
  <c r="C27" i="10"/>
  <c r="E20" i="2" s="1"/>
  <c r="B27" i="10"/>
  <c r="D20" i="2" s="1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3" i="10"/>
  <c r="G1" i="10"/>
  <c r="M6" i="9"/>
  <c r="O19" i="2" s="1"/>
  <c r="K6" i="9"/>
  <c r="M19" i="2" s="1"/>
  <c r="J6" i="9"/>
  <c r="L19" i="2" s="1"/>
  <c r="I6" i="9"/>
  <c r="K19" i="2" s="1"/>
  <c r="H6" i="9"/>
  <c r="J19" i="2" s="1"/>
  <c r="G6" i="9"/>
  <c r="I19" i="2" s="1"/>
  <c r="F6" i="9"/>
  <c r="H19" i="2" s="1"/>
  <c r="E6" i="9"/>
  <c r="G19" i="2" s="1"/>
  <c r="D6" i="9"/>
  <c r="F19" i="2" s="1"/>
  <c r="C6" i="9"/>
  <c r="E19" i="2" s="1"/>
  <c r="N4" i="9"/>
  <c r="N3" i="9"/>
  <c r="G1" i="9"/>
  <c r="M5" i="8"/>
  <c r="O18" i="2" s="1"/>
  <c r="L5" i="8"/>
  <c r="N18" i="2" s="1"/>
  <c r="K5" i="8"/>
  <c r="M18" i="2" s="1"/>
  <c r="J5" i="8"/>
  <c r="L18" i="2" s="1"/>
  <c r="I5" i="8"/>
  <c r="K18" i="2" s="1"/>
  <c r="H5" i="8"/>
  <c r="J18" i="2" s="1"/>
  <c r="G5" i="8"/>
  <c r="I18" i="2" s="1"/>
  <c r="F5" i="8"/>
  <c r="H18" i="2" s="1"/>
  <c r="E5" i="8"/>
  <c r="G18" i="2" s="1"/>
  <c r="D5" i="8"/>
  <c r="F18" i="2" s="1"/>
  <c r="C5" i="8"/>
  <c r="E18" i="2" s="1"/>
  <c r="B5" i="8"/>
  <c r="D18" i="2" s="1"/>
  <c r="N4" i="8"/>
  <c r="N5" i="8" s="1"/>
  <c r="N3" i="8"/>
  <c r="G1" i="8"/>
  <c r="L6" i="7"/>
  <c r="N17" i="2" s="1"/>
  <c r="K6" i="7"/>
  <c r="M17" i="2" s="1"/>
  <c r="J6" i="7"/>
  <c r="L17" i="2" s="1"/>
  <c r="I6" i="7"/>
  <c r="K17" i="2" s="1"/>
  <c r="G6" i="7"/>
  <c r="I17" i="2" s="1"/>
  <c r="F6" i="7"/>
  <c r="H17" i="2" s="1"/>
  <c r="E6" i="7"/>
  <c r="G17" i="2" s="1"/>
  <c r="D6" i="7"/>
  <c r="F17" i="2" s="1"/>
  <c r="C6" i="7"/>
  <c r="E17" i="2" s="1"/>
  <c r="B6" i="7"/>
  <c r="D17" i="2" s="1"/>
  <c r="G1" i="7"/>
  <c r="N6" i="6"/>
  <c r="N5" i="6"/>
  <c r="N4" i="6"/>
  <c r="G1" i="6"/>
  <c r="M10" i="5"/>
  <c r="O15" i="2" s="1"/>
  <c r="L10" i="5"/>
  <c r="N15" i="2" s="1"/>
  <c r="K10" i="5"/>
  <c r="M15" i="2" s="1"/>
  <c r="J10" i="5"/>
  <c r="L15" i="2" s="1"/>
  <c r="I10" i="5"/>
  <c r="K15" i="2" s="1"/>
  <c r="H10" i="5"/>
  <c r="J15" i="2" s="1"/>
  <c r="G10" i="5"/>
  <c r="I15" i="2" s="1"/>
  <c r="F10" i="5"/>
  <c r="H15" i="2" s="1"/>
  <c r="E10" i="5"/>
  <c r="G15" i="2" s="1"/>
  <c r="D10" i="5"/>
  <c r="F15" i="2" s="1"/>
  <c r="C10" i="5"/>
  <c r="E15" i="2" s="1"/>
  <c r="B10" i="5"/>
  <c r="D15" i="2" s="1"/>
  <c r="N8" i="5"/>
  <c r="N7" i="5"/>
  <c r="N6" i="5"/>
  <c r="N5" i="5"/>
  <c r="N4" i="5"/>
  <c r="N3" i="5"/>
  <c r="G1" i="5"/>
  <c r="M94" i="4"/>
  <c r="O14" i="2" s="1"/>
  <c r="L94" i="4"/>
  <c r="N14" i="2" s="1"/>
  <c r="J94" i="4"/>
  <c r="L14" i="2" s="1"/>
  <c r="I94" i="4"/>
  <c r="K14" i="2" s="1"/>
  <c r="F94" i="4"/>
  <c r="H14" i="2" s="1"/>
  <c r="E94" i="4"/>
  <c r="G14" i="2" s="1"/>
  <c r="C94" i="4"/>
  <c r="E14" i="2" s="1"/>
  <c r="N13" i="4"/>
  <c r="N11" i="4"/>
  <c r="N10" i="4"/>
  <c r="N9" i="4"/>
  <c r="N8" i="4"/>
  <c r="N6" i="4"/>
  <c r="N5" i="4"/>
  <c r="N4" i="4"/>
  <c r="S33" i="3"/>
  <c r="R33" i="3"/>
  <c r="Q33" i="3"/>
  <c r="P33" i="3"/>
  <c r="O33" i="3"/>
  <c r="N33" i="3"/>
  <c r="M33" i="3"/>
  <c r="L33" i="3"/>
  <c r="K33" i="3"/>
  <c r="J33" i="3"/>
  <c r="I33" i="3"/>
  <c r="H33" i="3"/>
  <c r="T32" i="3"/>
  <c r="G32" i="3"/>
  <c r="T31" i="3"/>
  <c r="G31" i="3"/>
  <c r="U31" i="3"/>
  <c r="T30" i="3"/>
  <c r="G30" i="3"/>
  <c r="T29" i="3"/>
  <c r="G29" i="3"/>
  <c r="U29" i="3" s="1"/>
  <c r="T28" i="3"/>
  <c r="G28" i="3"/>
  <c r="U28" i="3" s="1"/>
  <c r="T27" i="3"/>
  <c r="G27" i="3"/>
  <c r="T26" i="3"/>
  <c r="G26" i="3"/>
  <c r="T25" i="3"/>
  <c r="G25" i="3"/>
  <c r="T24" i="3"/>
  <c r="F24" i="3"/>
  <c r="T23" i="3"/>
  <c r="G23" i="3"/>
  <c r="U23" i="3" s="1"/>
  <c r="T22" i="3"/>
  <c r="G22" i="3"/>
  <c r="T21" i="3"/>
  <c r="G21" i="3"/>
  <c r="U21" i="3"/>
  <c r="T20" i="3"/>
  <c r="G20" i="3"/>
  <c r="U20" i="3" s="1"/>
  <c r="T19" i="3"/>
  <c r="G19" i="3"/>
  <c r="T18" i="3"/>
  <c r="G18" i="3"/>
  <c r="U18" i="3"/>
  <c r="T17" i="3"/>
  <c r="U17" i="3" s="1"/>
  <c r="G17" i="3"/>
  <c r="T16" i="3"/>
  <c r="G16" i="3"/>
  <c r="U16" i="3" s="1"/>
  <c r="T15" i="3"/>
  <c r="G15" i="3"/>
  <c r="U15" i="3" s="1"/>
  <c r="T14" i="3"/>
  <c r="G14" i="3"/>
  <c r="U14" i="3" s="1"/>
  <c r="T13" i="3"/>
  <c r="G13" i="3"/>
  <c r="T12" i="3"/>
  <c r="T33" i="3" s="1"/>
  <c r="G12" i="3"/>
  <c r="F10" i="3"/>
  <c r="H9" i="3"/>
  <c r="T9" i="3" s="1"/>
  <c r="T8" i="3"/>
  <c r="T7" i="3"/>
  <c r="T6" i="3"/>
  <c r="T5" i="3"/>
  <c r="T4" i="3"/>
  <c r="G4" i="3"/>
  <c r="G10" i="3" s="1"/>
  <c r="Q46" i="2"/>
  <c r="P46" i="2"/>
  <c r="R46" i="2" s="1"/>
  <c r="Q45" i="2"/>
  <c r="P45" i="2"/>
  <c r="R45" i="2" s="1"/>
  <c r="Q42" i="2"/>
  <c r="P37" i="2"/>
  <c r="Q41" i="2"/>
  <c r="P41" i="2"/>
  <c r="R41" i="2" s="1"/>
  <c r="Q40" i="2"/>
  <c r="C34" i="2"/>
  <c r="Q34" i="2" s="1"/>
  <c r="Q33" i="2"/>
  <c r="Q31" i="2"/>
  <c r="Q30" i="2"/>
  <c r="C29" i="2"/>
  <c r="Q29" i="2" s="1"/>
  <c r="Q28" i="2"/>
  <c r="C27" i="2"/>
  <c r="Q27" i="2" s="1"/>
  <c r="C26" i="2"/>
  <c r="Q26" i="2" s="1"/>
  <c r="C25" i="2"/>
  <c r="Q25" i="2" s="1"/>
  <c r="C24" i="2"/>
  <c r="Q24" i="2" s="1"/>
  <c r="C23" i="2"/>
  <c r="Q23" i="2" s="1"/>
  <c r="C22" i="2"/>
  <c r="Q22" i="2" s="1"/>
  <c r="C21" i="2"/>
  <c r="Q21" i="2" s="1"/>
  <c r="C20" i="2"/>
  <c r="Q20" i="2" s="1"/>
  <c r="C19" i="2"/>
  <c r="Q19" i="2" s="1"/>
  <c r="C17" i="2"/>
  <c r="Q17" i="2" s="1"/>
  <c r="C16" i="2"/>
  <c r="Q16" i="2" s="1"/>
  <c r="C15" i="2"/>
  <c r="Q15" i="2" s="1"/>
  <c r="C14" i="2"/>
  <c r="Q14" i="2" s="1"/>
  <c r="Q35" i="2" s="1"/>
  <c r="B11" i="2"/>
  <c r="B12" i="2" s="1"/>
  <c r="M11" i="2"/>
  <c r="L11" i="2"/>
  <c r="K11" i="2"/>
  <c r="J11" i="2"/>
  <c r="I11" i="2"/>
  <c r="H11" i="2"/>
  <c r="G11" i="2"/>
  <c r="E11" i="2"/>
  <c r="D11" i="2"/>
  <c r="Q10" i="2"/>
  <c r="P10" i="2"/>
  <c r="C9" i="2"/>
  <c r="Q9" i="2"/>
  <c r="P7" i="2"/>
  <c r="C7" i="2"/>
  <c r="Q7" i="2" s="1"/>
  <c r="C6" i="2"/>
  <c r="Q6" i="2"/>
  <c r="Q3" i="2"/>
  <c r="P3" i="2"/>
  <c r="T32" i="1"/>
  <c r="S32" i="1"/>
  <c r="R32" i="1"/>
  <c r="Q32" i="1"/>
  <c r="P32" i="1"/>
  <c r="O32" i="1"/>
  <c r="M31" i="1"/>
  <c r="G31" i="1"/>
  <c r="V31" i="1" s="1"/>
  <c r="N30" i="1"/>
  <c r="M30" i="1"/>
  <c r="L30" i="1"/>
  <c r="K30" i="1"/>
  <c r="J30" i="1"/>
  <c r="I30" i="1"/>
  <c r="U30" i="1" s="1"/>
  <c r="G30" i="1"/>
  <c r="V30" i="1" s="1"/>
  <c r="W30" i="1" s="1"/>
  <c r="G29" i="1"/>
  <c r="V29" i="1"/>
  <c r="L28" i="1"/>
  <c r="I28" i="1"/>
  <c r="G28" i="1"/>
  <c r="V28" i="1"/>
  <c r="J28" i="1"/>
  <c r="K28" i="1"/>
  <c r="M28" i="1"/>
  <c r="N27" i="1"/>
  <c r="M27" i="1"/>
  <c r="L27" i="1"/>
  <c r="K27" i="1"/>
  <c r="J27" i="1"/>
  <c r="I27" i="1"/>
  <c r="U27" i="1" s="1"/>
  <c r="G27" i="1"/>
  <c r="V27" i="1"/>
  <c r="W27" i="1" s="1"/>
  <c r="N26" i="1"/>
  <c r="G26" i="1"/>
  <c r="V26" i="1"/>
  <c r="N25" i="1"/>
  <c r="M25" i="1"/>
  <c r="L25" i="1"/>
  <c r="K25" i="1"/>
  <c r="J25" i="1"/>
  <c r="I25" i="1"/>
  <c r="U25" i="1"/>
  <c r="G25" i="1"/>
  <c r="V25" i="1" s="1"/>
  <c r="W25" i="1" s="1"/>
  <c r="N24" i="1"/>
  <c r="M24" i="1"/>
  <c r="L24" i="1"/>
  <c r="K24" i="1"/>
  <c r="J24" i="1"/>
  <c r="I24" i="1"/>
  <c r="U24" i="1"/>
  <c r="F24" i="1"/>
  <c r="V23" i="1"/>
  <c r="G23" i="1"/>
  <c r="N22" i="1"/>
  <c r="M22" i="1"/>
  <c r="G22" i="1"/>
  <c r="V22" i="1"/>
  <c r="L21" i="1"/>
  <c r="I21" i="1"/>
  <c r="G21" i="1"/>
  <c r="V21" i="1"/>
  <c r="N20" i="1"/>
  <c r="G20" i="1"/>
  <c r="V20" i="1"/>
  <c r="N19" i="1"/>
  <c r="G19" i="1"/>
  <c r="V19" i="1" s="1"/>
  <c r="N18" i="1"/>
  <c r="M18" i="1"/>
  <c r="L18" i="1"/>
  <c r="K18" i="1"/>
  <c r="G18" i="1"/>
  <c r="V18" i="1" s="1"/>
  <c r="V17" i="1"/>
  <c r="N17" i="1"/>
  <c r="M17" i="1"/>
  <c r="L17" i="1"/>
  <c r="K17" i="1"/>
  <c r="J17" i="1"/>
  <c r="I17" i="1"/>
  <c r="G17" i="1"/>
  <c r="V16" i="1"/>
  <c r="G16" i="1"/>
  <c r="N15" i="1"/>
  <c r="M15" i="1"/>
  <c r="L15" i="1"/>
  <c r="K15" i="1"/>
  <c r="J15" i="1"/>
  <c r="I15" i="1"/>
  <c r="U15" i="1"/>
  <c r="G15" i="1"/>
  <c r="V15" i="1"/>
  <c r="N14" i="1"/>
  <c r="L14" i="1"/>
  <c r="K14" i="1"/>
  <c r="G14" i="1"/>
  <c r="V14" i="1"/>
  <c r="N13" i="1"/>
  <c r="M13" i="1"/>
  <c r="L13" i="1"/>
  <c r="K13" i="1"/>
  <c r="J13" i="1"/>
  <c r="I13" i="1"/>
  <c r="G13" i="1"/>
  <c r="V13" i="1" s="1"/>
  <c r="N12" i="1"/>
  <c r="N16" i="1"/>
  <c r="M12" i="1"/>
  <c r="L12" i="1"/>
  <c r="K12" i="1"/>
  <c r="K32" i="1" s="1"/>
  <c r="J12" i="1"/>
  <c r="I12" i="1"/>
  <c r="G12" i="1"/>
  <c r="V12" i="1" s="1"/>
  <c r="N10" i="1"/>
  <c r="M10" i="1"/>
  <c r="L10" i="1"/>
  <c r="K10" i="1"/>
  <c r="J10" i="1"/>
  <c r="H10" i="1"/>
  <c r="F10" i="1"/>
  <c r="V9" i="1"/>
  <c r="I9" i="1"/>
  <c r="U9" i="1"/>
  <c r="W9" i="1" s="1"/>
  <c r="U8" i="1"/>
  <c r="I7" i="1"/>
  <c r="I10" i="1" s="1"/>
  <c r="U10" i="1" s="1"/>
  <c r="U7" i="1"/>
  <c r="G7" i="1"/>
  <c r="V7" i="1" s="1"/>
  <c r="U6" i="1"/>
  <c r="U5" i="1"/>
  <c r="G5" i="1"/>
  <c r="V5" i="1" s="1"/>
  <c r="N10" i="5"/>
  <c r="N12" i="5" s="1"/>
  <c r="L26" i="1"/>
  <c r="L23" i="1"/>
  <c r="L20" i="1"/>
  <c r="K26" i="1"/>
  <c r="L31" i="1"/>
  <c r="U19" i="3"/>
  <c r="U26" i="3"/>
  <c r="U12" i="3"/>
  <c r="U22" i="3"/>
  <c r="U27" i="3"/>
  <c r="U32" i="3"/>
  <c r="F32" i="1"/>
  <c r="G24" i="1"/>
  <c r="V24" i="1" s="1"/>
  <c r="W24" i="1" s="1"/>
  <c r="H10" i="3"/>
  <c r="B6" i="9"/>
  <c r="D19" i="2" s="1"/>
  <c r="N3" i="7"/>
  <c r="G32" i="1"/>
  <c r="V32" i="1" s="1"/>
  <c r="M21" i="1"/>
  <c r="J22" i="1"/>
  <c r="U13" i="3"/>
  <c r="F33" i="3"/>
  <c r="G24" i="3"/>
  <c r="U24" i="3" s="1"/>
  <c r="K21" i="1"/>
  <c r="N12" i="4"/>
  <c r="B94" i="4"/>
  <c r="D14" i="2" s="1"/>
  <c r="C11" i="2"/>
  <c r="G33" i="3"/>
  <c r="M23" i="1" l="1"/>
  <c r="I23" i="1"/>
  <c r="N31" i="1"/>
  <c r="K22" i="1"/>
  <c r="W5" i="1"/>
  <c r="G10" i="1"/>
  <c r="V10" i="1" s="1"/>
  <c r="W10" i="1" s="1"/>
  <c r="W15" i="1"/>
  <c r="T10" i="3"/>
  <c r="W7" i="1"/>
  <c r="Q11" i="2"/>
  <c r="J23" i="1"/>
  <c r="K19" i="1"/>
  <c r="I20" i="1"/>
  <c r="I22" i="1"/>
  <c r="M26" i="1"/>
  <c r="F5" i="2"/>
  <c r="E5" i="2"/>
  <c r="N6" i="13"/>
  <c r="R31" i="2"/>
  <c r="D5" i="2"/>
  <c r="K29" i="1"/>
  <c r="M29" i="1"/>
  <c r="J19" i="1"/>
  <c r="J31" i="1"/>
  <c r="J14" i="1"/>
  <c r="N38" i="17"/>
  <c r="N40" i="17" s="1"/>
  <c r="R37" i="2"/>
  <c r="I19" i="1"/>
  <c r="I14" i="1"/>
  <c r="I32" i="1" s="1"/>
  <c r="I16" i="1"/>
  <c r="R7" i="2"/>
  <c r="R10" i="2"/>
  <c r="R9" i="2"/>
  <c r="M36" i="2"/>
  <c r="O36" i="2"/>
  <c r="L36" i="2"/>
  <c r="P39" i="2"/>
  <c r="R39" i="2" s="1"/>
  <c r="G36" i="2"/>
  <c r="J36" i="2"/>
  <c r="E36" i="2"/>
  <c r="R30" i="2"/>
  <c r="I36" i="2"/>
  <c r="R33" i="2"/>
  <c r="D36" i="2"/>
  <c r="F36" i="2"/>
  <c r="P23" i="2"/>
  <c r="R23" i="2" s="1"/>
  <c r="H36" i="2"/>
  <c r="B35" i="2"/>
  <c r="B47" i="2" s="1"/>
  <c r="Q47" i="2" s="1"/>
  <c r="C35" i="2"/>
  <c r="N27" i="10"/>
  <c r="N29" i="10" s="1"/>
  <c r="M19" i="1"/>
  <c r="L19" i="1"/>
  <c r="K36" i="2"/>
  <c r="F34" i="2"/>
  <c r="P34" i="2" s="1"/>
  <c r="R34" i="2" s="1"/>
  <c r="I31" i="1"/>
  <c r="N29" i="1"/>
  <c r="I29" i="1"/>
  <c r="N28" i="1"/>
  <c r="N23" i="1"/>
  <c r="U23" i="1" s="1"/>
  <c r="W23" i="1" s="1"/>
  <c r="N30" i="14"/>
  <c r="N32" i="14" s="1"/>
  <c r="K23" i="1"/>
  <c r="N8" i="13"/>
  <c r="L22" i="1"/>
  <c r="U22" i="1" s="1"/>
  <c r="W22" i="1" s="1"/>
  <c r="P21" i="2"/>
  <c r="R21" i="2" s="1"/>
  <c r="J20" i="1"/>
  <c r="M20" i="1"/>
  <c r="K35" i="2"/>
  <c r="J21" i="1"/>
  <c r="U21" i="1" s="1"/>
  <c r="W21" i="1" s="1"/>
  <c r="L35" i="2"/>
  <c r="U17" i="1"/>
  <c r="N7" i="8"/>
  <c r="J16" i="1"/>
  <c r="K16" i="1"/>
  <c r="P17" i="2"/>
  <c r="R17" i="2" s="1"/>
  <c r="L16" i="1"/>
  <c r="O35" i="2"/>
  <c r="O47" i="2" s="1"/>
  <c r="M14" i="1"/>
  <c r="J32" i="1"/>
  <c r="L32" i="1"/>
  <c r="N94" i="4"/>
  <c r="H35" i="2"/>
  <c r="D26" i="2"/>
  <c r="D35" i="2" s="1"/>
  <c r="I26" i="1"/>
  <c r="N6" i="9"/>
  <c r="P11" i="2"/>
  <c r="I35" i="2"/>
  <c r="I47" i="2" s="1"/>
  <c r="M35" i="2"/>
  <c r="U13" i="1"/>
  <c r="W13" i="1" s="1"/>
  <c r="W17" i="1"/>
  <c r="U12" i="1"/>
  <c r="U28" i="1"/>
  <c r="W28" i="1" s="1"/>
  <c r="P25" i="2"/>
  <c r="R25" i="2" s="1"/>
  <c r="P20" i="2"/>
  <c r="R20" i="2" s="1"/>
  <c r="L29" i="1"/>
  <c r="G29" i="2"/>
  <c r="G35" i="2" s="1"/>
  <c r="P16" i="2"/>
  <c r="R16" i="2" s="1"/>
  <c r="J18" i="1"/>
  <c r="I18" i="1"/>
  <c r="N10" i="16"/>
  <c r="M16" i="1"/>
  <c r="L6" i="9"/>
  <c r="N19" i="2" s="1"/>
  <c r="N35" i="2" s="1"/>
  <c r="P22" i="2"/>
  <c r="R22" i="2" s="1"/>
  <c r="P24" i="2"/>
  <c r="R24" i="2" s="1"/>
  <c r="N3" i="19"/>
  <c r="N64" i="19" s="1"/>
  <c r="C64" i="19"/>
  <c r="N7" i="6"/>
  <c r="N9" i="6" s="1"/>
  <c r="N31" i="16"/>
  <c r="H49" i="16"/>
  <c r="J26" i="2" s="1"/>
  <c r="J35" i="2" s="1"/>
  <c r="N36" i="2"/>
  <c r="P27" i="2"/>
  <c r="R27" i="2" s="1"/>
  <c r="P42" i="2"/>
  <c r="R42" i="2" s="1"/>
  <c r="P6" i="2"/>
  <c r="R6" i="2" s="1"/>
  <c r="P15" i="2"/>
  <c r="R15" i="2" s="1"/>
  <c r="N5" i="7"/>
  <c r="N6" i="7" s="1"/>
  <c r="N8" i="7" s="1"/>
  <c r="P18" i="2"/>
  <c r="R18" i="2" s="1"/>
  <c r="U25" i="3"/>
  <c r="U33" i="3" s="1"/>
  <c r="U30" i="3"/>
  <c r="D94" i="4"/>
  <c r="F14" i="2" s="1"/>
  <c r="N10" i="12"/>
  <c r="N12" i="12" s="1"/>
  <c r="N4" i="15"/>
  <c r="N38" i="15" s="1"/>
  <c r="N40" i="15" s="1"/>
  <c r="C49" i="16"/>
  <c r="P40" i="2"/>
  <c r="R40" i="2" s="1"/>
  <c r="P28" i="2"/>
  <c r="R28" i="2" s="1"/>
  <c r="N12" i="20"/>
  <c r="N66" i="20" s="1"/>
  <c r="N68" i="20" s="1"/>
  <c r="U31" i="1" l="1"/>
  <c r="W31" i="1" s="1"/>
  <c r="R11" i="2"/>
  <c r="U20" i="1"/>
  <c r="W20" i="1" s="1"/>
  <c r="M32" i="1"/>
  <c r="N66" i="19"/>
  <c r="U14" i="1"/>
  <c r="W14" i="1" s="1"/>
  <c r="U19" i="1"/>
  <c r="W19" i="1" s="1"/>
  <c r="G47" i="2"/>
  <c r="M47" i="2"/>
  <c r="P36" i="2"/>
  <c r="J47" i="2"/>
  <c r="H47" i="2"/>
  <c r="L47" i="2"/>
  <c r="D47" i="2"/>
  <c r="R36" i="2"/>
  <c r="F35" i="2"/>
  <c r="F47" i="2" s="1"/>
  <c r="K47" i="2"/>
  <c r="N49" i="16"/>
  <c r="N51" i="16" s="1"/>
  <c r="N32" i="1"/>
  <c r="U18" i="1"/>
  <c r="W18" i="1" s="1"/>
  <c r="U16" i="1"/>
  <c r="W16" i="1" s="1"/>
  <c r="U32" i="1"/>
  <c r="W12" i="1"/>
  <c r="W32" i="1" s="1"/>
  <c r="E26" i="2"/>
  <c r="P26" i="2" s="1"/>
  <c r="R26" i="2" s="1"/>
  <c r="J26" i="1"/>
  <c r="U26" i="1" s="1"/>
  <c r="W26" i="1" s="1"/>
  <c r="E29" i="2"/>
  <c r="P29" i="2" s="1"/>
  <c r="R29" i="2" s="1"/>
  <c r="J29" i="1"/>
  <c r="U29" i="1" s="1"/>
  <c r="W29" i="1" s="1"/>
  <c r="N47" i="2"/>
  <c r="P14" i="2"/>
  <c r="N8" i="9"/>
  <c r="N95" i="4"/>
  <c r="P19" i="2"/>
  <c r="R19" i="2" s="1"/>
  <c r="E35" i="2" l="1"/>
  <c r="E47" i="2" s="1"/>
  <c r="P35" i="2"/>
  <c r="P47" i="2" s="1"/>
  <c r="R14" i="2"/>
  <c r="R35" i="2" s="1"/>
  <c r="R47" i="2" s="1"/>
</calcChain>
</file>

<file path=xl/sharedStrings.xml><?xml version="1.0" encoding="utf-8"?>
<sst xmlns="http://schemas.openxmlformats.org/spreadsheetml/2006/main" count="503" uniqueCount="205">
  <si>
    <t xml:space="preserve">Исполнение финансового плана ДНТ "КП "Согласие" за период с июня 2016 по май  2017 года </t>
  </si>
  <si>
    <t>Статьи поступления денежных средств</t>
  </si>
  <si>
    <t>Лимит на год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</si>
  <si>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</si>
  <si>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</si>
  <si>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</si>
  <si>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</si>
  <si>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</si>
  <si>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</si>
  <si>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</si>
  <si>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Итого за 6 мес.</t>
  </si>
  <si>
    <t>Бюджет          за 6 мес.</t>
  </si>
  <si>
    <t>Недобор(-) Перевыполн.(+)</t>
  </si>
  <si>
    <t xml:space="preserve"> 01.06.16</t>
  </si>
  <si>
    <t>декабрь</t>
  </si>
  <si>
    <t>январь</t>
  </si>
  <si>
    <t>февраль</t>
  </si>
  <si>
    <t>март</t>
  </si>
  <si>
    <t>апрель</t>
  </si>
  <si>
    <t>май</t>
  </si>
  <si>
    <t>Поступл. ден ср. от сбора член. взнос.</t>
  </si>
  <si>
    <t>ЦФ вступит.  взнос новых членов</t>
  </si>
  <si>
    <t>ЦФ взнос на содерж. дор. (опл.въезда)</t>
  </si>
  <si>
    <t>Пени за несв. уплату член взн.+ штраф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</si>
  <si>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</si>
  <si>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</si>
  <si>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</si>
  <si>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</si>
  <si>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</si>
  <si>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</si>
  <si>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</si>
  <si>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Юридические услуги</t>
  </si>
  <si>
    <t>Заработная плата    (15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</si>
  <si>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</si>
  <si>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</si>
  <si>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</si>
  <si>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</si>
  <si>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</si>
  <si>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</si>
  <si>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</si>
  <si>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Содерж. сетей канализ. и ремонт ОС</t>
  </si>
  <si>
    <t>Содержание сетей электроснабжения</t>
  </si>
  <si>
    <t>Э/энергия на общие нужды</t>
  </si>
  <si>
    <t>Технические и коммерческие потери</t>
  </si>
  <si>
    <t>Содержание дорог и уборка территор.</t>
  </si>
  <si>
    <t>Благоустройство территории</t>
  </si>
  <si>
    <t>Оформление земель общего польз.</t>
  </si>
  <si>
    <t>Резервный фонд 5%</t>
  </si>
  <si>
    <t xml:space="preserve">     ИТОГО РАСХОДЫ</t>
  </si>
  <si>
    <t>КОММЕНТАРИИ к статьям с перерасходом:</t>
  </si>
  <si>
    <t>ВЫВОЗ МУСОРА: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</si>
  <si>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</si>
  <si>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Финансовый год:</t>
  </si>
  <si>
    <t>Руб.</t>
  </si>
  <si>
    <t>Лимит на месяц</t>
  </si>
  <si>
    <t>Остаток на начало периода</t>
  </si>
  <si>
    <t>Поступл. ден ср. от сбора ЧВ</t>
  </si>
  <si>
    <t>Поступл. оплаты за въезд, пропуска,          % по депозитам</t>
  </si>
  <si>
    <t xml:space="preserve">Поступление оплаты по коммерч. дог. </t>
  </si>
  <si>
    <t>ИТОГО ВЗНОСЫ И ДОХОДЫ</t>
  </si>
  <si>
    <t>ИТОГО С ВХОДЯЩИМ ОСТАТКОМ</t>
  </si>
  <si>
    <t xml:space="preserve">Заработная плата </t>
  </si>
  <si>
    <t>Канализация</t>
  </si>
  <si>
    <t>Электроснабжение</t>
  </si>
  <si>
    <t xml:space="preserve"> </t>
  </si>
  <si>
    <t>Ямочный ремонт дорог</t>
  </si>
  <si>
    <t>х</t>
  </si>
  <si>
    <t>Фонд поощрения ПП</t>
  </si>
  <si>
    <t>Социальн. налоги с Фонда поощр. ПП</t>
  </si>
  <si>
    <t>ИТОГО РАСХОДЫ НА СОДЕРЖАНИЕ ТСН:</t>
  </si>
  <si>
    <t>РАСХОДЫ НА РАЗВИТИЕ ТСН, в том числе:</t>
  </si>
  <si>
    <t>Ремонт водопровода</t>
  </si>
  <si>
    <t>Дополнительные поступления на ремонт водопровода</t>
  </si>
  <si>
    <t>Лицензирование скважин</t>
  </si>
  <si>
    <t>Оформление земли</t>
  </si>
  <si>
    <t>Финансовый план ДНТ "КП"Согласие" на 2016-2017 гг</t>
  </si>
  <si>
    <t xml:space="preserve">Исполнение финансового плана за период с июня 2016 по май  2017 года </t>
  </si>
  <si>
    <t xml:space="preserve">  Статья поступления денежных средств</t>
  </si>
  <si>
    <t>Бюджет на 2016/2017 гг.Лимит на</t>
  </si>
  <si>
    <t xml:space="preserve">Месячный </t>
  </si>
  <si>
    <t>Фактически</t>
  </si>
  <si>
    <t xml:space="preserve">итого с </t>
  </si>
  <si>
    <t>бюджет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</si>
  <si>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</si>
  <si>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</si>
  <si>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</si>
  <si>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</si>
  <si>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</si>
  <si>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</si>
  <si>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</si>
  <si>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</si>
  <si>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</si>
  <si>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Приобретение инструмент, инвентарь,оборуд</t>
  </si>
  <si>
    <t>Содержание сетей канализ. и рем.очист. сооруж.</t>
  </si>
  <si>
    <t>Резерв оборот ср-в на покрытие несвоеврем опл</t>
  </si>
  <si>
    <t>Содержание дорог и уборка территории</t>
  </si>
  <si>
    <t>Оформление земель общего пользования</t>
  </si>
  <si>
    <t xml:space="preserve"> ИТОГО РАСХОДЫ</t>
  </si>
  <si>
    <t>ИТОГО</t>
  </si>
  <si>
    <t>АУПС</t>
  </si>
  <si>
    <t>Личн. а/транспорт</t>
  </si>
  <si>
    <t xml:space="preserve">Обслуж банка </t>
  </si>
  <si>
    <t>Бензин Аи-92</t>
  </si>
  <si>
    <t>Бензин Аи-95</t>
  </si>
  <si>
    <t>Вода питьевая</t>
  </si>
  <si>
    <t>Канцтовары</t>
  </si>
  <si>
    <t>Объявления, пропуска</t>
  </si>
  <si>
    <t>Почтовые отправления</t>
  </si>
  <si>
    <t>Обновление 1С</t>
  </si>
  <si>
    <t>Сайт</t>
  </si>
  <si>
    <t>СБИС отчетность</t>
  </si>
  <si>
    <t>Интернет</t>
  </si>
  <si>
    <t>МТС</t>
  </si>
  <si>
    <t>Мегафон</t>
  </si>
  <si>
    <t>Заработная плата</t>
  </si>
  <si>
    <t>Заработная плата, отпускные</t>
  </si>
  <si>
    <t>Юрист</t>
  </si>
  <si>
    <t>Выплата премий сотрудникам</t>
  </si>
  <si>
    <t>Налоги в   ПФР, ФСС ФФОМС</t>
  </si>
  <si>
    <t>Пени, штрафы</t>
  </si>
  <si>
    <t>Приобретение инструментов и хоз инвентаря</t>
  </si>
  <si>
    <t>ИТОГО:</t>
  </si>
  <si>
    <t>мусор</t>
  </si>
  <si>
    <t>ветки</t>
  </si>
  <si>
    <t>Содержание сетей канализации</t>
  </si>
  <si>
    <t>Откачка МТК</t>
  </si>
  <si>
    <t>илосос</t>
  </si>
  <si>
    <t>Электроэнергия на общие нужды</t>
  </si>
  <si>
    <t>Возмещение затрат на эл.эн.</t>
  </si>
  <si>
    <t xml:space="preserve">Благоустройство территории </t>
  </si>
  <si>
    <t>Бензин АИ 92</t>
  </si>
  <si>
    <t>Бензин АИ 95</t>
  </si>
  <si>
    <t>Дт</t>
  </si>
  <si>
    <t>Резервный фонд</t>
  </si>
  <si>
    <t>рег.оператор</t>
  </si>
  <si>
    <t>УСН</t>
  </si>
  <si>
    <t>водный налог</t>
  </si>
  <si>
    <t>Дизель</t>
  </si>
  <si>
    <t>анализ воды</t>
  </si>
  <si>
    <t>Яндекс-диск</t>
  </si>
  <si>
    <t>2023-2024гг.</t>
  </si>
  <si>
    <t>Главный бухгалтер</t>
  </si>
  <si>
    <t>Водоподготовка</t>
  </si>
  <si>
    <t>Реконструкция дет.площадки д/малышей</t>
  </si>
  <si>
    <t>Тампонаж скважин</t>
  </si>
  <si>
    <t>Частотник на ВЗУ</t>
  </si>
  <si>
    <t>Подключение скважины</t>
  </si>
  <si>
    <t>Премия ревизору</t>
  </si>
  <si>
    <t>Социальн. Налоги на премию ревизора</t>
  </si>
  <si>
    <t>Асфальт на Парковой от 3 КПП до перекр. С Тенистой</t>
  </si>
  <si>
    <t>Щебень</t>
  </si>
  <si>
    <t>Доставка</t>
  </si>
  <si>
    <t>Холодный асфальт</t>
  </si>
  <si>
    <t>Урны д/собачьих площадок</t>
  </si>
  <si>
    <t>Ремонт и з/ч д/Ларгуса</t>
  </si>
  <si>
    <t>Нотариус</t>
  </si>
  <si>
    <t>Объявления о приеме на работу</t>
  </si>
  <si>
    <t>2 моб.телефона, чехлы,защитные стекла</t>
  </si>
  <si>
    <t>ремонт камеры трактора</t>
  </si>
  <si>
    <t>пескобетон</t>
  </si>
  <si>
    <t>катушка, храповик</t>
  </si>
  <si>
    <t>лопаты, круги, мешки</t>
  </si>
  <si>
    <t>семена</t>
  </si>
  <si>
    <t>леска д/триммера</t>
  </si>
  <si>
    <t>кран + подводка</t>
  </si>
  <si>
    <t>картриджи</t>
  </si>
  <si>
    <t>крепеж д/унитаза</t>
  </si>
  <si>
    <t>биты</t>
  </si>
  <si>
    <t>лента сигнальная</t>
  </si>
  <si>
    <t>перчатки</t>
  </si>
  <si>
    <t>болгарка</t>
  </si>
  <si>
    <t>спецодежда</t>
  </si>
  <si>
    <t>тех план газопровода</t>
  </si>
  <si>
    <t>госпошлина</t>
  </si>
  <si>
    <t>С2 ан.сточных вод 50%</t>
  </si>
  <si>
    <t>ножи д/трактора</t>
  </si>
  <si>
    <t>устранение аварийн. Засора</t>
  </si>
  <si>
    <t>объявл. По подбору персонала</t>
  </si>
  <si>
    <t>аренда экскаватора, прорыв</t>
  </si>
  <si>
    <t>Компенсация 50% штрафа</t>
  </si>
  <si>
    <t>кабель</t>
  </si>
  <si>
    <t>ламинатор</t>
  </si>
  <si>
    <t>дырокол</t>
  </si>
  <si>
    <t>бирка д/ключей</t>
  </si>
  <si>
    <t>шторка д/охраны</t>
  </si>
  <si>
    <t>труба проф., лестница</t>
  </si>
  <si>
    <t>диск по мет., замок, петля гаражн.</t>
  </si>
  <si>
    <t>цемент</t>
  </si>
  <si>
    <t>саморезы кровельные</t>
  </si>
  <si>
    <t>краска, кисти</t>
  </si>
  <si>
    <t>полоса мет.</t>
  </si>
  <si>
    <t>уровень</t>
  </si>
  <si>
    <t>черенок</t>
  </si>
  <si>
    <t>люк пп на трубу</t>
  </si>
  <si>
    <t>мешки д/мусора</t>
  </si>
  <si>
    <t>мышь комп.</t>
  </si>
  <si>
    <t>замок д/ларгуса</t>
  </si>
  <si>
    <t>бензоножницы</t>
  </si>
  <si>
    <t>цепь д/бензопилы</t>
  </si>
  <si>
    <t>мотыга</t>
  </si>
  <si>
    <t>заглушка</t>
  </si>
  <si>
    <t>фитинг</t>
  </si>
  <si>
    <t>нож д/газонокосилки</t>
  </si>
  <si>
    <t>рукав пожарный</t>
  </si>
  <si>
    <t>Исполнение финансового плана ТСН "КП "Согласие" за июнь 2023 - июль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</si>
</sst>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35" x14ac:knownFonts="1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0"/>
      <name val="Arial Cyr"/>
    </font>
    <font>
      <sz val="11"/>
      <color indexed="64"/>
      <name val="Calibri"/>
    </font>
    <font>
      <b/>
      <sz val="11"/>
      <color indexed="64"/>
      <name val="Calibri"/>
    </font>
    <font>
      <b/>
      <sz val="14"/>
      <color indexed="64"/>
      <name val="Arial"/>
    </font>
    <font>
      <b/>
      <sz val="11"/>
      <color indexed="64"/>
      <name val="Arial"/>
    </font>
    <font>
      <b/>
      <sz val="12"/>
      <color indexed="64"/>
      <name val="Arial"/>
    </font>
    <font>
      <b/>
      <sz val="12"/>
      <color indexed="64"/>
      <name val="Calibri"/>
    </font>
    <font>
      <b/>
      <i/>
      <sz val="14"/>
      <color indexed="64"/>
      <name val="Calibri"/>
    </font>
    <font>
      <sz val="12"/>
      <color indexed="64"/>
      <name val="Calibri"/>
    </font>
    <font>
      <sz val="12"/>
      <name val="Calibri"/>
    </font>
    <font>
      <b/>
      <sz val="12"/>
      <name val="Calibri"/>
    </font>
    <font>
      <i/>
      <sz val="12"/>
      <color indexed="64"/>
      <name val="Calibri"/>
    </font>
    <font>
      <sz val="11"/>
      <color indexed="64"/>
      <name val="Arial"/>
    </font>
    <font>
      <b/>
      <i/>
      <sz val="10"/>
      <color indexed="64"/>
      <name val="Arial"/>
    </font>
    <font>
      <b/>
      <i/>
      <sz val="10"/>
      <color indexed="64"/>
      <name val="Calibri"/>
    </font>
    <font>
      <b/>
      <i/>
      <u/>
      <sz val="11"/>
      <color indexed="64"/>
      <name val="Calibri"/>
    </font>
    <font>
      <sz val="11"/>
      <name val="Calibri"/>
    </font>
    <font>
      <sz val="11"/>
      <name val="Arial"/>
    </font>
    <font>
      <sz val="11"/>
      <color indexed="55"/>
      <name val="Calibri"/>
    </font>
    <font>
      <sz val="8"/>
      <name val="Calibri"/>
    </font>
    <font>
      <b/>
      <sz val="11"/>
      <name val="Calibri"/>
    </font>
    <font>
      <b/>
      <i/>
      <sz val="12"/>
      <color indexed="64"/>
      <name val="Calibri"/>
    </font>
    <font>
      <b/>
      <i/>
      <sz val="11"/>
      <color indexed="64"/>
      <name val="Calibri"/>
    </font>
    <font>
      <i/>
      <sz val="11"/>
      <color indexed="64"/>
      <name val="Calibri"/>
    </font>
    <font>
      <b/>
      <i/>
      <sz val="11"/>
      <color indexed="17"/>
      <name val="Calibri"/>
    </font>
    <font>
      <b/>
      <sz val="10"/>
      <name val="Arial Cyr"/>
    </font>
    <font>
      <sz val="10"/>
      <color indexed="2"/>
      <name val="Arial Cyr"/>
    </font>
    <font>
      <b/>
      <sz val="14"/>
      <color indexed="64"/>
      <name val="Calibri"/>
    </font>
    <font>
      <sz val="10"/>
      <color indexed="64"/>
      <name val="Arial"/>
    </font>
    <font>
      <sz val="11"/>
      <color indexed="10"/>
      <name val="Calibri"/>
      <family val="2"/>
      <charset val="204"/>
    </font>
    <font>
      <sz val="12"/>
      <name val="Calibri"/>
      <family val="2"/>
      <charset val="204"/>
    </font>
    <font>
      <sz val="10"/>
      <color indexed="10"/>
      <name val="Arial Cyr"/>
    </font>
    <font>
      <sz val="11"/>
      <color theme="0" tint="-0.249977111117893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45"/>
      </patternFill>
    </fill>
    <fill>
      <patternFill patternType="solid">
        <f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42"/>
        <bgColor indexed="42"/>
      </patternFill>
    </fill>
    <fill>
      <patternFill patternType="solid">
        <fgColor indexed="3"/>
        <bgColor indexed="3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5"/>
        <bgColor indexed="5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Protection="0"/>
  </cellStyleXfs>
  <cellXfs count="36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0" fillId="0" borderId="3" xfId="0" applyBorder="1"/>
    <xf numFmtId="0" fontId="4" fillId="0" borderId="3" xfId="0" applyFont="1" applyBorder="1" applyAlignment="1">
      <alignment horizontal="center" vertical="center"/>
    </xf>
    <xf numFmtId="0" fontId="0" fillId="3" borderId="3" xfId="0" applyFill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/>
    <xf numFmtId="3" fontId="8" fillId="4" borderId="8" xfId="0" applyNumberFormat="1" applyFont="1" applyFill="1" applyBorder="1" applyAlignment="1">
      <alignment horizontal="center"/>
    </xf>
    <xf numFmtId="3" fontId="8" fillId="5" borderId="8" xfId="0" applyNumberFormat="1" applyFont="1" applyFill="1" applyBorder="1" applyAlignment="1">
      <alignment horizontal="center"/>
    </xf>
    <xf numFmtId="3" fontId="10" fillId="2" borderId="8" xfId="0" applyNumberFormat="1" applyFont="1" applyFill="1" applyBorder="1"/>
    <xf numFmtId="3" fontId="10" fillId="2" borderId="8" xfId="0" applyNumberFormat="1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 vertical="center"/>
    </xf>
    <xf numFmtId="3" fontId="10" fillId="6" borderId="8" xfId="0" applyNumberFormat="1" applyFont="1" applyFill="1" applyBorder="1" applyAlignment="1">
      <alignment horizontal="center" vertical="center"/>
    </xf>
    <xf numFmtId="3" fontId="10" fillId="0" borderId="8" xfId="0" applyNumberFormat="1" applyFont="1" applyBorder="1"/>
    <xf numFmtId="3" fontId="11" fillId="3" borderId="8" xfId="0" applyNumberFormat="1" applyFont="1" applyFill="1" applyBorder="1"/>
    <xf numFmtId="3" fontId="8" fillId="0" borderId="8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7" borderId="8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/>
    <xf numFmtId="0" fontId="10" fillId="0" borderId="8" xfId="0" applyFont="1" applyBorder="1" applyAlignment="1">
      <alignment horizontal="center" vertical="center"/>
    </xf>
    <xf numFmtId="0" fontId="11" fillId="3" borderId="8" xfId="0" applyFont="1" applyFill="1" applyBorder="1"/>
    <xf numFmtId="0" fontId="8" fillId="7" borderId="9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1" fontId="8" fillId="5" borderId="8" xfId="0" applyNumberFormat="1" applyFont="1" applyFill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 vertical="center"/>
    </xf>
    <xf numFmtId="0" fontId="8" fillId="7" borderId="8" xfId="0" applyFont="1" applyFill="1" applyBorder="1" applyAlignment="1">
      <alignment horizontal="center"/>
    </xf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0" xfId="0" applyFont="1" applyBorder="1" applyAlignment="1">
      <alignment horizontal="center"/>
    </xf>
    <xf numFmtId="3" fontId="10" fillId="2" borderId="10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0" xfId="0" applyFont="1" applyFill="1" applyBorder="1"/>
    <xf numFmtId="0" fontId="10" fillId="2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3" fontId="10" fillId="0" borderId="10" xfId="0" applyNumberFormat="1" applyFont="1" applyBorder="1"/>
    <xf numFmtId="0" fontId="11" fillId="3" borderId="10" xfId="0" applyFont="1" applyFill="1" applyBorder="1"/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7" borderId="10" xfId="0" applyNumberFormat="1" applyFont="1" applyFill="1" applyBorder="1" applyAlignment="1">
      <alignment horizontal="center"/>
    </xf>
    <xf numFmtId="3" fontId="8" fillId="4" borderId="5" xfId="0" applyNumberFormat="1" applyFont="1" applyFill="1" applyBorder="1" applyAlignment="1">
      <alignment horizontal="center"/>
    </xf>
    <xf numFmtId="3" fontId="8" fillId="5" borderId="5" xfId="0" applyNumberFormat="1" applyFont="1" applyFill="1" applyBorder="1" applyAlignment="1">
      <alignment horizontal="center"/>
    </xf>
    <xf numFmtId="3" fontId="8" fillId="0" borderId="5" xfId="0" applyNumberFormat="1" applyFont="1" applyBorder="1"/>
    <xf numFmtId="3" fontId="8" fillId="2" borderId="5" xfId="0" applyNumberFormat="1" applyFont="1" applyFill="1" applyBorder="1" applyAlignment="1">
      <alignment horizontal="center"/>
    </xf>
    <xf numFmtId="3" fontId="10" fillId="0" borderId="5" xfId="0" applyNumberFormat="1" applyFont="1" applyBorder="1"/>
    <xf numFmtId="3" fontId="11" fillId="3" borderId="5" xfId="0" applyNumberFormat="1" applyFont="1" applyFill="1" applyBorder="1"/>
    <xf numFmtId="3" fontId="8" fillId="0" borderId="5" xfId="0" applyNumberFormat="1" applyFont="1" applyBorder="1" applyAlignment="1">
      <alignment horizontal="center"/>
    </xf>
    <xf numFmtId="3" fontId="8" fillId="7" borderId="5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8" fillId="0" borderId="7" xfId="0" applyFont="1" applyBorder="1" applyAlignment="1">
      <alignment horizontal="center" vertical="center"/>
    </xf>
    <xf numFmtId="0" fontId="12" fillId="3" borderId="7" xfId="0" applyFont="1" applyFill="1" applyBorder="1"/>
    <xf numFmtId="0" fontId="8" fillId="0" borderId="8" xfId="0" applyFont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3" fontId="10" fillId="9" borderId="8" xfId="0" applyNumberFormat="1" applyFont="1" applyFill="1" applyBorder="1" applyAlignment="1">
      <alignment horizontal="center"/>
    </xf>
    <xf numFmtId="3" fontId="8" fillId="8" borderId="8" xfId="0" applyNumberFormat="1" applyFont="1" applyFill="1" applyBorder="1" applyAlignment="1">
      <alignment horizontal="center"/>
    </xf>
    <xf numFmtId="0" fontId="10" fillId="0" borderId="5" xfId="0" applyFont="1" applyBorder="1"/>
    <xf numFmtId="3" fontId="10" fillId="9" borderId="5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2" xfId="0" applyBorder="1"/>
    <xf numFmtId="3" fontId="8" fillId="4" borderId="10" xfId="0" applyNumberFormat="1" applyFont="1" applyFill="1" applyBorder="1" applyAlignment="1">
      <alignment horizontal="center"/>
    </xf>
    <xf numFmtId="3" fontId="8" fillId="5" borderId="10" xfId="0" applyNumberFormat="1" applyFont="1" applyFill="1" applyBorder="1" applyAlignment="1">
      <alignment horizontal="center"/>
    </xf>
    <xf numFmtId="3" fontId="10" fillId="9" borderId="10" xfId="0" applyNumberFormat="1" applyFont="1" applyFill="1" applyBorder="1" applyAlignment="1">
      <alignment horizontal="center"/>
    </xf>
    <xf numFmtId="3" fontId="11" fillId="3" borderId="10" xfId="0" applyNumberFormat="1" applyFont="1" applyFill="1" applyBorder="1"/>
    <xf numFmtId="3" fontId="8" fillId="8" borderId="10" xfId="0" applyNumberFormat="1" applyFont="1" applyFill="1" applyBorder="1" applyAlignment="1">
      <alignment horizontal="center"/>
    </xf>
    <xf numFmtId="0" fontId="4" fillId="0" borderId="0" xfId="0" applyFont="1"/>
    <xf numFmtId="3" fontId="8" fillId="9" borderId="5" xfId="0" applyNumberFormat="1" applyFont="1" applyFill="1" applyBorder="1" applyAlignment="1">
      <alignment horizontal="center"/>
    </xf>
    <xf numFmtId="3" fontId="8" fillId="9" borderId="5" xfId="0" applyNumberFormat="1" applyFont="1" applyFill="1" applyBorder="1"/>
    <xf numFmtId="3" fontId="8" fillId="10" borderId="5" xfId="0" applyNumberFormat="1" applyFont="1" applyFill="1" applyBorder="1" applyAlignment="1">
      <alignment horizontal="center" vertical="center"/>
    </xf>
    <xf numFmtId="3" fontId="8" fillId="8" borderId="15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11" borderId="16" xfId="0" applyFont="1" applyFill="1" applyBorder="1"/>
    <xf numFmtId="0" fontId="14" fillId="11" borderId="17" xfId="0" applyFont="1" applyFill="1" applyBorder="1" applyAlignment="1">
      <alignment horizontal="center"/>
    </xf>
    <xf numFmtId="0" fontId="14" fillId="0" borderId="0" xfId="0" applyFont="1"/>
    <xf numFmtId="0" fontId="0" fillId="0" borderId="0" xfId="0" applyAlignment="1">
      <alignment wrapText="1"/>
    </xf>
    <xf numFmtId="165" fontId="0" fillId="0" borderId="0" xfId="2" applyNumberFormat="1" applyFont="1" applyAlignment="1">
      <alignment horizontal="center"/>
    </xf>
    <xf numFmtId="165" fontId="0" fillId="0" borderId="0" xfId="2" applyNumberFormat="1" applyFont="1"/>
    <xf numFmtId="0" fontId="17" fillId="0" borderId="0" xfId="0" applyFont="1" applyAlignment="1">
      <alignment horizontal="right" wrapText="1"/>
    </xf>
    <xf numFmtId="165" fontId="17" fillId="0" borderId="0" xfId="2" applyNumberFormat="1" applyFont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165" fontId="0" fillId="0" borderId="5" xfId="2" applyNumberFormat="1" applyFont="1" applyBorder="1" applyAlignment="1">
      <alignment horizontal="center" vertical="center" wrapText="1"/>
    </xf>
    <xf numFmtId="165" fontId="0" fillId="0" borderId="5" xfId="2" applyNumberFormat="1" applyFont="1" applyBorder="1" applyAlignment="1">
      <alignment horizontal="center" vertical="center"/>
    </xf>
    <xf numFmtId="165" fontId="4" fillId="12" borderId="5" xfId="2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165" fontId="8" fillId="4" borderId="8" xfId="2" applyNumberFormat="1" applyFont="1" applyFill="1" applyBorder="1" applyAlignment="1">
      <alignment horizontal="center"/>
    </xf>
    <xf numFmtId="165" fontId="4" fillId="0" borderId="4" xfId="2" applyNumberFormat="1" applyFont="1" applyBorder="1" applyAlignment="1">
      <alignment horizontal="center" vertical="center" wrapText="1"/>
    </xf>
    <xf numFmtId="165" fontId="8" fillId="5" borderId="8" xfId="2" applyNumberFormat="1" applyFont="1" applyFill="1" applyBorder="1" applyAlignment="1">
      <alignment horizontal="center"/>
    </xf>
    <xf numFmtId="165" fontId="10" fillId="2" borderId="8" xfId="2" applyNumberFormat="1" applyFont="1" applyFill="1" applyBorder="1" applyAlignment="1">
      <alignment horizontal="center"/>
    </xf>
    <xf numFmtId="165" fontId="10" fillId="2" borderId="8" xfId="2" applyNumberFormat="1" applyFont="1" applyFill="1" applyBorder="1"/>
    <xf numFmtId="165" fontId="11" fillId="2" borderId="8" xfId="2" applyNumberFormat="1" applyFont="1" applyFill="1" applyBorder="1" applyAlignment="1">
      <alignment horizontal="center" vertical="center"/>
    </xf>
    <xf numFmtId="165" fontId="10" fillId="2" borderId="8" xfId="2" applyNumberFormat="1" applyFont="1" applyFill="1" applyBorder="1" applyAlignment="1">
      <alignment horizontal="center" vertical="center"/>
    </xf>
    <xf numFmtId="165" fontId="11" fillId="2" borderId="8" xfId="2" applyNumberFormat="1" applyFont="1" applyFill="1" applyBorder="1" applyAlignment="1">
      <alignment horizontal="center"/>
    </xf>
    <xf numFmtId="165" fontId="8" fillId="0" borderId="8" xfId="2" applyNumberFormat="1" applyFont="1" applyBorder="1" applyAlignment="1">
      <alignment horizontal="center"/>
    </xf>
    <xf numFmtId="165" fontId="8" fillId="0" borderId="4" xfId="2" applyNumberFormat="1" applyFont="1" applyBorder="1" applyAlignment="1">
      <alignment horizontal="center"/>
    </xf>
    <xf numFmtId="165" fontId="8" fillId="7" borderId="8" xfId="2" applyNumberFormat="1" applyFont="1" applyFill="1" applyBorder="1" applyAlignment="1">
      <alignment horizontal="center"/>
    </xf>
    <xf numFmtId="165" fontId="8" fillId="4" borderId="3" xfId="2" applyNumberFormat="1" applyFont="1" applyFill="1" applyBorder="1" applyAlignment="1">
      <alignment horizontal="center"/>
    </xf>
    <xf numFmtId="165" fontId="8" fillId="4" borderId="5" xfId="2" applyNumberFormat="1" applyFont="1" applyFill="1" applyBorder="1" applyAlignment="1">
      <alignment horizontal="center"/>
    </xf>
    <xf numFmtId="165" fontId="8" fillId="5" borderId="8" xfId="2" applyNumberFormat="1" applyFont="1" applyFill="1" applyBorder="1" applyAlignment="1">
      <alignment vertical="center"/>
    </xf>
    <xf numFmtId="165" fontId="10" fillId="0" borderId="8" xfId="2" applyNumberFormat="1" applyFont="1" applyBorder="1" applyAlignment="1">
      <alignment horizontal="center"/>
    </xf>
    <xf numFmtId="165" fontId="10" fillId="0" borderId="8" xfId="2" applyNumberFormat="1" applyFont="1" applyBorder="1"/>
    <xf numFmtId="165" fontId="10" fillId="0" borderId="8" xfId="2" applyNumberFormat="1" applyFont="1" applyBorder="1" applyAlignment="1">
      <alignment horizontal="center" vertical="center"/>
    </xf>
    <xf numFmtId="165" fontId="11" fillId="0" borderId="8" xfId="2" applyNumberFormat="1" applyFont="1" applyBorder="1"/>
    <xf numFmtId="165" fontId="8" fillId="0" borderId="8" xfId="2" applyNumberFormat="1" applyFont="1" applyBorder="1" applyAlignment="1">
      <alignment vertical="center"/>
    </xf>
    <xf numFmtId="0" fontId="10" fillId="0" borderId="10" xfId="0" applyFont="1" applyBorder="1" applyAlignment="1">
      <alignment wrapText="1"/>
    </xf>
    <xf numFmtId="165" fontId="8" fillId="4" borderId="10" xfId="2" applyNumberFormat="1" applyFont="1" applyFill="1" applyBorder="1" applyAlignment="1">
      <alignment horizontal="center"/>
    </xf>
    <xf numFmtId="165" fontId="8" fillId="5" borderId="10" xfId="2" applyNumberFormat="1" applyFont="1" applyFill="1" applyBorder="1" applyAlignment="1">
      <alignment horizontal="center"/>
    </xf>
    <xf numFmtId="165" fontId="10" fillId="2" borderId="10" xfId="2" applyNumberFormat="1" applyFont="1" applyFill="1" applyBorder="1" applyAlignment="1">
      <alignment horizontal="center"/>
    </xf>
    <xf numFmtId="165" fontId="8" fillId="0" borderId="10" xfId="2" applyNumberFormat="1" applyFont="1" applyBorder="1" applyAlignment="1">
      <alignment horizontal="center"/>
    </xf>
    <xf numFmtId="165" fontId="8" fillId="0" borderId="11" xfId="2" applyNumberFormat="1" applyFont="1" applyBorder="1" applyAlignment="1">
      <alignment horizontal="center"/>
    </xf>
    <xf numFmtId="165" fontId="8" fillId="7" borderId="10" xfId="2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165" fontId="8" fillId="5" borderId="15" xfId="2" applyNumberFormat="1" applyFont="1" applyFill="1" applyBorder="1" applyAlignment="1">
      <alignment horizontal="center"/>
    </xf>
    <xf numFmtId="165" fontId="8" fillId="2" borderId="15" xfId="2" applyNumberFormat="1" applyFont="1" applyFill="1" applyBorder="1" applyAlignment="1">
      <alignment horizontal="center"/>
    </xf>
    <xf numFmtId="165" fontId="8" fillId="0" borderId="15" xfId="2" applyNumberFormat="1" applyFont="1" applyBorder="1" applyAlignment="1">
      <alignment horizontal="center"/>
    </xf>
    <xf numFmtId="165" fontId="8" fillId="0" borderId="19" xfId="2" applyNumberFormat="1" applyFont="1" applyBorder="1" applyAlignment="1">
      <alignment horizontal="center"/>
    </xf>
    <xf numFmtId="165" fontId="8" fillId="7" borderId="15" xfId="2" applyNumberFormat="1" applyFont="1" applyFill="1" applyBorder="1" applyAlignment="1">
      <alignment horizontal="center"/>
    </xf>
    <xf numFmtId="3" fontId="0" fillId="0" borderId="0" xfId="0" applyNumberFormat="1"/>
    <xf numFmtId="0" fontId="8" fillId="0" borderId="1" xfId="0" applyFont="1" applyBorder="1" applyAlignment="1">
      <alignment horizontal="left" wrapText="1"/>
    </xf>
    <xf numFmtId="165" fontId="8" fillId="0" borderId="0" xfId="2" applyNumberFormat="1" applyFont="1" applyAlignment="1">
      <alignment horizontal="center"/>
    </xf>
    <xf numFmtId="0" fontId="9" fillId="9" borderId="8" xfId="0" applyFont="1" applyFill="1" applyBorder="1" applyAlignment="1">
      <alignment wrapText="1"/>
    </xf>
    <xf numFmtId="165" fontId="8" fillId="0" borderId="7" xfId="2" applyNumberFormat="1" applyFont="1" applyBorder="1" applyAlignment="1">
      <alignment horizontal="center"/>
    </xf>
    <xf numFmtId="165" fontId="8" fillId="0" borderId="1" xfId="2" applyNumberFormat="1" applyFont="1" applyBorder="1" applyAlignment="1">
      <alignment horizontal="center"/>
    </xf>
    <xf numFmtId="165" fontId="8" fillId="0" borderId="1" xfId="2" applyNumberFormat="1" applyFont="1" applyBorder="1"/>
    <xf numFmtId="165" fontId="8" fillId="0" borderId="1" xfId="2" applyNumberFormat="1" applyFont="1" applyBorder="1" applyAlignment="1">
      <alignment horizontal="center" vertical="center"/>
    </xf>
    <xf numFmtId="165" fontId="13" fillId="0" borderId="1" xfId="2" applyNumberFormat="1" applyFont="1" applyBorder="1" applyAlignment="1">
      <alignment horizontal="center"/>
    </xf>
    <xf numFmtId="165" fontId="8" fillId="8" borderId="8" xfId="2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5" fontId="10" fillId="9" borderId="8" xfId="2" applyNumberFormat="1" applyFont="1" applyFill="1" applyBorder="1" applyAlignment="1">
      <alignment horizontal="center"/>
    </xf>
    <xf numFmtId="165" fontId="8" fillId="0" borderId="5" xfId="2" applyNumberFormat="1" applyFont="1" applyBorder="1" applyAlignment="1">
      <alignment horizontal="center"/>
    </xf>
    <xf numFmtId="165" fontId="8" fillId="8" borderId="8" xfId="2" applyNumberFormat="1" applyFont="1" applyFill="1" applyBorder="1" applyAlignment="1">
      <alignment horizontal="center"/>
    </xf>
    <xf numFmtId="165" fontId="10" fillId="9" borderId="5" xfId="2" applyNumberFormat="1" applyFont="1" applyFill="1" applyBorder="1" applyAlignment="1">
      <alignment horizontal="center"/>
    </xf>
    <xf numFmtId="165" fontId="11" fillId="9" borderId="5" xfId="2" applyNumberFormat="1" applyFont="1" applyFill="1" applyBorder="1" applyAlignment="1">
      <alignment horizontal="center"/>
    </xf>
    <xf numFmtId="165" fontId="8" fillId="13" borderId="4" xfId="2" applyNumberFormat="1" applyFont="1" applyFill="1" applyBorder="1" applyAlignment="1">
      <alignment horizontal="center"/>
    </xf>
    <xf numFmtId="0" fontId="0" fillId="0" borderId="2" xfId="0" applyBorder="1" applyAlignment="1">
      <alignment wrapText="1"/>
    </xf>
    <xf numFmtId="165" fontId="8" fillId="5" borderId="3" xfId="2" applyNumberFormat="1" applyFont="1" applyFill="1" applyBorder="1" applyAlignment="1">
      <alignment horizontal="center"/>
    </xf>
    <xf numFmtId="165" fontId="10" fillId="9" borderId="3" xfId="2" applyNumberFormat="1" applyFont="1" applyFill="1" applyBorder="1" applyAlignment="1">
      <alignment horizontal="center"/>
    </xf>
    <xf numFmtId="165" fontId="8" fillId="5" borderId="5" xfId="2" applyNumberFormat="1" applyFont="1" applyFill="1" applyBorder="1" applyAlignment="1">
      <alignment horizontal="center"/>
    </xf>
    <xf numFmtId="165" fontId="8" fillId="8" borderId="5" xfId="2" applyNumberFormat="1" applyFont="1" applyFill="1" applyBorder="1" applyAlignment="1">
      <alignment horizontal="center"/>
    </xf>
    <xf numFmtId="165" fontId="10" fillId="9" borderId="10" xfId="2" applyNumberFormat="1" applyFont="1" applyFill="1" applyBorder="1" applyAlignment="1">
      <alignment horizontal="center"/>
    </xf>
    <xf numFmtId="165" fontId="8" fillId="13" borderId="10" xfId="2" applyNumberFormat="1" applyFont="1" applyFill="1" applyBorder="1" applyAlignment="1">
      <alignment horizontal="center"/>
    </xf>
    <xf numFmtId="165" fontId="8" fillId="8" borderId="10" xfId="2" applyNumberFormat="1" applyFont="1" applyFill="1" applyBorder="1" applyAlignment="1">
      <alignment horizontal="center"/>
    </xf>
    <xf numFmtId="0" fontId="8" fillId="0" borderId="20" xfId="0" applyFont="1" applyBorder="1" applyAlignment="1">
      <alignment wrapText="1"/>
    </xf>
    <xf numFmtId="165" fontId="8" fillId="4" borderId="14" xfId="2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wrapText="1"/>
    </xf>
    <xf numFmtId="165" fontId="19" fillId="0" borderId="0" xfId="2" applyNumberFormat="1" applyFont="1" applyAlignment="1">
      <alignment horizontal="center"/>
    </xf>
    <xf numFmtId="165" fontId="19" fillId="0" borderId="0" xfId="2" applyNumberFormat="1" applyFont="1"/>
    <xf numFmtId="0" fontId="20" fillId="0" borderId="0" xfId="0" applyFont="1"/>
    <xf numFmtId="0" fontId="18" fillId="0" borderId="0" xfId="0" applyFont="1" applyAlignment="1">
      <alignment wrapText="1"/>
    </xf>
    <xf numFmtId="165" fontId="18" fillId="0" borderId="0" xfId="2" applyNumberFormat="1" applyFont="1" applyAlignment="1">
      <alignment horizontal="center"/>
    </xf>
    <xf numFmtId="165" fontId="18" fillId="0" borderId="0" xfId="2" applyNumberFormat="1" applyFont="1"/>
    <xf numFmtId="165" fontId="21" fillId="0" borderId="0" xfId="2" applyNumberFormat="1" applyFont="1"/>
    <xf numFmtId="165" fontId="22" fillId="0" borderId="0" xfId="2" applyNumberFormat="1" applyFont="1"/>
    <xf numFmtId="165" fontId="22" fillId="0" borderId="0" xfId="2" applyNumberFormat="1" applyFont="1" applyAlignment="1">
      <alignment horizontal="center"/>
    </xf>
    <xf numFmtId="165" fontId="22" fillId="0" borderId="0" xfId="2" applyNumberFormat="1" applyFont="1" applyAlignment="1">
      <alignment horizontal="left"/>
    </xf>
    <xf numFmtId="0" fontId="4" fillId="0" borderId="16" xfId="0" applyFont="1" applyBorder="1"/>
    <xf numFmtId="0" fontId="4" fillId="0" borderId="7" xfId="0" applyFont="1" applyBorder="1"/>
    <xf numFmtId="0" fontId="0" fillId="0" borderId="16" xfId="0" applyBorder="1"/>
    <xf numFmtId="0" fontId="23" fillId="0" borderId="16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Border="1"/>
    <xf numFmtId="0" fontId="24" fillId="0" borderId="5" xfId="0" applyFont="1" applyBorder="1" applyAlignment="1">
      <alignment horizontal="center"/>
    </xf>
    <xf numFmtId="0" fontId="0" fillId="3" borderId="5" xfId="0" applyFill="1" applyBorder="1"/>
    <xf numFmtId="3" fontId="4" fillId="10" borderId="8" xfId="0" applyNumberFormat="1" applyFont="1" applyFill="1" applyBorder="1"/>
    <xf numFmtId="3" fontId="0" fillId="10" borderId="8" xfId="0" applyNumberFormat="1" applyFill="1" applyBorder="1"/>
    <xf numFmtId="3" fontId="0" fillId="0" borderId="8" xfId="0" applyNumberFormat="1" applyBorder="1"/>
    <xf numFmtId="3" fontId="18" fillId="3" borderId="8" xfId="0" applyNumberFormat="1" applyFont="1" applyFill="1" applyBorder="1"/>
    <xf numFmtId="3" fontId="4" fillId="0" borderId="8" xfId="0" applyNumberFormat="1" applyFont="1" applyBorder="1"/>
    <xf numFmtId="3" fontId="4" fillId="0" borderId="0" xfId="0" applyNumberFormat="1" applyFont="1"/>
    <xf numFmtId="0" fontId="0" fillId="0" borderId="8" xfId="0" applyBorder="1"/>
    <xf numFmtId="0" fontId="18" fillId="3" borderId="8" xfId="0" applyFont="1" applyFill="1" applyBorder="1"/>
    <xf numFmtId="3" fontId="22" fillId="0" borderId="8" xfId="0" applyNumberFormat="1" applyFont="1" applyBorder="1"/>
    <xf numFmtId="0" fontId="8" fillId="0" borderId="0" xfId="0" applyFont="1"/>
    <xf numFmtId="3" fontId="8" fillId="0" borderId="8" xfId="0" applyNumberFormat="1" applyFont="1" applyBorder="1"/>
    <xf numFmtId="3" fontId="8" fillId="10" borderId="8" xfId="0" applyNumberFormat="1" applyFont="1" applyFill="1" applyBorder="1"/>
    <xf numFmtId="0" fontId="22" fillId="3" borderId="7" xfId="0" applyFont="1" applyFill="1" applyBorder="1"/>
    <xf numFmtId="0" fontId="25" fillId="3" borderId="8" xfId="0" applyFont="1" applyFill="1" applyBorder="1"/>
    <xf numFmtId="3" fontId="4" fillId="2" borderId="8" xfId="0" applyNumberFormat="1" applyFont="1" applyFill="1" applyBorder="1"/>
    <xf numFmtId="3" fontId="0" fillId="2" borderId="8" xfId="0" applyNumberFormat="1" applyFill="1" applyBorder="1"/>
    <xf numFmtId="3" fontId="4" fillId="3" borderId="8" xfId="0" applyNumberFormat="1" applyFont="1" applyFill="1" applyBorder="1"/>
    <xf numFmtId="3" fontId="26" fillId="3" borderId="8" xfId="0" applyNumberFormat="1" applyFont="1" applyFill="1" applyBorder="1"/>
    <xf numFmtId="3" fontId="4" fillId="2" borderId="5" xfId="0" applyNumberFormat="1" applyFont="1" applyFill="1" applyBorder="1"/>
    <xf numFmtId="3" fontId="0" fillId="2" borderId="5" xfId="0" applyNumberFormat="1" applyFill="1" applyBorder="1"/>
    <xf numFmtId="3" fontId="0" fillId="0" borderId="5" xfId="0" applyNumberFormat="1" applyBorder="1"/>
    <xf numFmtId="3" fontId="18" fillId="3" borderId="5" xfId="0" applyNumberFormat="1" applyFont="1" applyFill="1" applyBorder="1"/>
    <xf numFmtId="3" fontId="26" fillId="3" borderId="5" xfId="0" applyNumberFormat="1" applyFont="1" applyFill="1" applyBorder="1"/>
    <xf numFmtId="3" fontId="0" fillId="13" borderId="8" xfId="0" applyNumberFormat="1" applyFill="1" applyBorder="1"/>
    <xf numFmtId="0" fontId="4" fillId="0" borderId="6" xfId="0" applyFont="1" applyBorder="1"/>
    <xf numFmtId="3" fontId="8" fillId="2" borderId="8" xfId="0" applyNumberFormat="1" applyFont="1" applyFill="1" applyBorder="1"/>
    <xf numFmtId="0" fontId="26" fillId="0" borderId="0" xfId="0" applyFont="1"/>
    <xf numFmtId="0" fontId="27" fillId="0" borderId="1" xfId="1" applyFont="1" applyBorder="1" applyAlignment="1">
      <alignment wrapText="1"/>
    </xf>
    <xf numFmtId="0" fontId="2" fillId="0" borderId="1" xfId="1" applyBorder="1" applyAlignment="1">
      <alignment horizontal="center"/>
    </xf>
    <xf numFmtId="0" fontId="27" fillId="0" borderId="1" xfId="1" applyFont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0" fontId="2" fillId="0" borderId="0" xfId="1" applyAlignment="1">
      <alignment wrapText="1"/>
    </xf>
    <xf numFmtId="0" fontId="2" fillId="0" borderId="3" xfId="1" applyBorder="1" applyAlignment="1">
      <alignment horizontal="center"/>
    </xf>
    <xf numFmtId="0" fontId="2" fillId="0" borderId="0" xfId="1" applyAlignment="1">
      <alignment horizontal="center"/>
    </xf>
    <xf numFmtId="0" fontId="2" fillId="0" borderId="17" xfId="1" applyBorder="1" applyAlignment="1">
      <alignment horizontal="center"/>
    </xf>
    <xf numFmtId="165" fontId="2" fillId="0" borderId="3" xfId="2" applyNumberFormat="1" applyFont="1" applyBorder="1" applyAlignment="1">
      <alignment horizontal="center"/>
    </xf>
    <xf numFmtId="0" fontId="2" fillId="0" borderId="1" xfId="1" applyBorder="1" applyAlignment="1">
      <alignment wrapText="1"/>
    </xf>
    <xf numFmtId="0" fontId="2" fillId="0" borderId="5" xfId="1" applyBorder="1" applyAlignment="1">
      <alignment horizontal="center"/>
    </xf>
    <xf numFmtId="0" fontId="2" fillId="0" borderId="14" xfId="1" applyBorder="1" applyAlignment="1">
      <alignment horizontal="center"/>
    </xf>
    <xf numFmtId="165" fontId="2" fillId="0" borderId="5" xfId="2" applyNumberFormat="1" applyFont="1" applyBorder="1" applyAlignment="1">
      <alignment horizontal="center"/>
    </xf>
    <xf numFmtId="0" fontId="2" fillId="13" borderId="7" xfId="1" applyFill="1" applyBorder="1" applyAlignment="1">
      <alignment wrapText="1"/>
    </xf>
    <xf numFmtId="0" fontId="2" fillId="0" borderId="8" xfId="1" applyBorder="1" applyAlignment="1">
      <alignment horizontal="center"/>
    </xf>
    <xf numFmtId="0" fontId="2" fillId="0" borderId="13" xfId="1" applyBorder="1" applyAlignment="1">
      <alignment horizontal="center"/>
    </xf>
    <xf numFmtId="0" fontId="2" fillId="0" borderId="7" xfId="1" applyBorder="1" applyAlignment="1">
      <alignment wrapText="1"/>
    </xf>
    <xf numFmtId="2" fontId="2" fillId="0" borderId="1" xfId="1" applyNumberFormat="1" applyBorder="1" applyAlignment="1">
      <alignment wrapText="1"/>
    </xf>
    <xf numFmtId="2" fontId="2" fillId="0" borderId="7" xfId="1" applyNumberFormat="1" applyBorder="1" applyAlignment="1">
      <alignment wrapText="1"/>
    </xf>
    <xf numFmtId="0" fontId="2" fillId="0" borderId="7" xfId="1" applyBorder="1" applyAlignment="1">
      <alignment vertical="center" wrapText="1"/>
    </xf>
    <xf numFmtId="165" fontId="2" fillId="0" borderId="8" xfId="2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2" fillId="0" borderId="5" xfId="1" applyBorder="1"/>
    <xf numFmtId="0" fontId="2" fillId="0" borderId="14" xfId="1" applyBorder="1"/>
    <xf numFmtId="0" fontId="2" fillId="0" borderId="8" xfId="1" applyBorder="1"/>
    <xf numFmtId="0" fontId="2" fillId="0" borderId="13" xfId="1" applyBorder="1"/>
    <xf numFmtId="3" fontId="27" fillId="8" borderId="5" xfId="1" applyNumberFormat="1" applyFont="1" applyFill="1" applyBorder="1" applyAlignment="1">
      <alignment horizontal="center"/>
    </xf>
    <xf numFmtId="165" fontId="27" fillId="8" borderId="5" xfId="2" applyNumberFormat="1" applyFont="1" applyFill="1" applyBorder="1" applyAlignment="1">
      <alignment horizontal="center"/>
    </xf>
    <xf numFmtId="0" fontId="27" fillId="0" borderId="1" xfId="1" applyFont="1" applyBorder="1"/>
    <xf numFmtId="0" fontId="2" fillId="0" borderId="0" xfId="1"/>
    <xf numFmtId="0" fontId="2" fillId="0" borderId="8" xfId="1" applyBorder="1" applyAlignment="1">
      <alignment vertical="center"/>
    </xf>
    <xf numFmtId="0" fontId="28" fillId="0" borderId="8" xfId="1" applyFont="1" applyBorder="1" applyAlignment="1">
      <alignment horizontal="center"/>
    </xf>
    <xf numFmtId="0" fontId="27" fillId="0" borderId="8" xfId="1" applyFont="1" applyBorder="1"/>
    <xf numFmtId="3" fontId="27" fillId="8" borderId="8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" xfId="1" applyBorder="1"/>
    <xf numFmtId="0" fontId="27" fillId="0" borderId="8" xfId="1" applyFont="1" applyBorder="1" applyAlignment="1">
      <alignment horizontal="left"/>
    </xf>
    <xf numFmtId="0" fontId="27" fillId="8" borderId="8" xfId="1" applyFont="1" applyFill="1" applyBorder="1" applyAlignment="1">
      <alignment horizontal="center"/>
    </xf>
    <xf numFmtId="0" fontId="27" fillId="0" borderId="3" xfId="1" applyFont="1" applyBorder="1" applyAlignment="1">
      <alignment horizontal="center"/>
    </xf>
    <xf numFmtId="0" fontId="2" fillId="0" borderId="7" xfId="1" applyBorder="1" applyAlignment="1">
      <alignment horizontal="left" vertical="center" wrapText="1"/>
    </xf>
    <xf numFmtId="0" fontId="27" fillId="0" borderId="5" xfId="1" applyFont="1" applyBorder="1"/>
    <xf numFmtId="0" fontId="2" fillId="0" borderId="7" xfId="1" applyBorder="1"/>
    <xf numFmtId="3" fontId="27" fillId="8" borderId="5" xfId="1" applyNumberFormat="1" applyFont="1" applyFill="1" applyBorder="1"/>
    <xf numFmtId="0" fontId="10" fillId="0" borderId="0" xfId="0" applyFont="1"/>
    <xf numFmtId="0" fontId="29" fillId="0" borderId="0" xfId="0" applyFont="1" applyAlignment="1">
      <alignment wrapText="1"/>
    </xf>
    <xf numFmtId="0" fontId="2" fillId="0" borderId="7" xfId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2" fontId="2" fillId="0" borderId="7" xfId="1" applyNumberFormat="1" applyBorder="1"/>
    <xf numFmtId="0" fontId="27" fillId="8" borderId="5" xfId="1" applyFont="1" applyFill="1" applyBorder="1" applyAlignment="1">
      <alignment horizontal="center"/>
    </xf>
    <xf numFmtId="0" fontId="2" fillId="0" borderId="3" xfId="1" applyBorder="1"/>
    <xf numFmtId="0" fontId="2" fillId="0" borderId="17" xfId="1" applyBorder="1"/>
    <xf numFmtId="0" fontId="2" fillId="0" borderId="8" xfId="1" applyBorder="1" applyAlignment="1">
      <alignment horizontal="left"/>
    </xf>
    <xf numFmtId="0" fontId="2" fillId="0" borderId="8" xfId="1" applyBorder="1" applyAlignment="1">
      <alignment horizontal="left" vertical="center" wrapText="1"/>
    </xf>
    <xf numFmtId="0" fontId="2" fillId="0" borderId="9" xfId="1" applyBorder="1"/>
    <xf numFmtId="0" fontId="2" fillId="0" borderId="17" xfId="1" applyBorder="1" applyAlignment="1">
      <alignment wrapText="1"/>
    </xf>
    <xf numFmtId="0" fontId="2" fillId="0" borderId="8" xfId="1" applyBorder="1" applyAlignment="1">
      <alignment wrapText="1"/>
    </xf>
    <xf numFmtId="0" fontId="30" fillId="0" borderId="8" xfId="0" applyFont="1" applyBorder="1" applyAlignment="1">
      <alignment horizontal="center"/>
    </xf>
    <xf numFmtId="0" fontId="27" fillId="8" borderId="14" xfId="1" applyFont="1" applyFill="1" applyBorder="1"/>
    <xf numFmtId="1" fontId="27" fillId="8" borderId="5" xfId="1" applyNumberFormat="1" applyFont="1" applyFill="1" applyBorder="1" applyAlignment="1">
      <alignment horizontal="center"/>
    </xf>
    <xf numFmtId="0" fontId="2" fillId="0" borderId="2" xfId="1" applyBorder="1"/>
    <xf numFmtId="165" fontId="2" fillId="0" borderId="8" xfId="2" applyNumberFormat="1" applyFont="1" applyBorder="1"/>
    <xf numFmtId="165" fontId="2" fillId="0" borderId="13" xfId="2" applyNumberFormat="1" applyFont="1" applyBorder="1"/>
    <xf numFmtId="165" fontId="2" fillId="0" borderId="5" xfId="2" applyNumberFormat="1" applyFont="1" applyBorder="1"/>
    <xf numFmtId="165" fontId="2" fillId="0" borderId="13" xfId="2" applyNumberFormat="1" applyFont="1" applyBorder="1" applyAlignment="1">
      <alignment horizontal="center"/>
    </xf>
    <xf numFmtId="165" fontId="2" fillId="0" borderId="14" xfId="2" applyNumberFormat="1" applyFont="1" applyBorder="1" applyAlignment="1">
      <alignment horizontal="center"/>
    </xf>
    <xf numFmtId="165" fontId="2" fillId="0" borderId="4" xfId="2" applyNumberFormat="1" applyFont="1" applyBorder="1"/>
    <xf numFmtId="0" fontId="2" fillId="0" borderId="7" xfId="1" applyBorder="1" applyAlignment="1">
      <alignment horizontal="left" wrapText="1"/>
    </xf>
    <xf numFmtId="165" fontId="0" fillId="0" borderId="8" xfId="2" applyNumberFormat="1" applyFont="1" applyBorder="1"/>
    <xf numFmtId="165" fontId="2" fillId="0" borderId="14" xfId="2" applyNumberFormat="1" applyFont="1" applyBorder="1"/>
    <xf numFmtId="165" fontId="2" fillId="0" borderId="5" xfId="2" applyNumberFormat="1" applyFont="1" applyBorder="1" applyAlignment="1">
      <alignment horizontal="center" vertical="center"/>
    </xf>
    <xf numFmtId="165" fontId="2" fillId="0" borderId="14" xfId="2" applyNumberFormat="1" applyFont="1" applyBorder="1" applyAlignment="1">
      <alignment horizontal="center" vertical="center"/>
    </xf>
    <xf numFmtId="0" fontId="2" fillId="0" borderId="7" xfId="1" applyBorder="1" applyAlignment="1">
      <alignment horizontal="left"/>
    </xf>
    <xf numFmtId="0" fontId="2" fillId="0" borderId="1" xfId="1" applyBorder="1" applyAlignment="1">
      <alignment horizontal="left"/>
    </xf>
    <xf numFmtId="165" fontId="28" fillId="0" borderId="13" xfId="2" applyNumberFormat="1" applyFont="1" applyBorder="1" applyAlignment="1">
      <alignment horizontal="center"/>
    </xf>
    <xf numFmtId="165" fontId="31" fillId="0" borderId="0" xfId="2" applyNumberFormat="1" applyFont="1" applyFill="1"/>
    <xf numFmtId="165" fontId="32" fillId="2" borderId="10" xfId="2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27" fillId="14" borderId="1" xfId="1" applyFont="1" applyFill="1" applyBorder="1"/>
    <xf numFmtId="165" fontId="33" fillId="0" borderId="13" xfId="2" applyNumberFormat="1" applyFont="1" applyBorder="1" applyAlignment="1">
      <alignment horizontal="center"/>
    </xf>
    <xf numFmtId="165" fontId="2" fillId="0" borderId="0" xfId="2" applyNumberFormat="1" applyFont="1"/>
    <xf numFmtId="165" fontId="2" fillId="0" borderId="3" xfId="2" applyNumberFormat="1" applyFont="1" applyBorder="1"/>
    <xf numFmtId="165" fontId="27" fillId="8" borderId="5" xfId="2" applyNumberFormat="1" applyFont="1" applyFill="1" applyBorder="1"/>
    <xf numFmtId="165" fontId="8" fillId="16" borderId="5" xfId="2" applyNumberFormat="1" applyFont="1" applyFill="1" applyBorder="1" applyAlignment="1">
      <alignment horizontal="center"/>
    </xf>
    <xf numFmtId="164" fontId="2" fillId="0" borderId="8" xfId="2" applyFont="1" applyBorder="1"/>
    <xf numFmtId="165" fontId="34" fillId="0" borderId="5" xfId="2" applyNumberFormat="1" applyFont="1" applyBorder="1" applyAlignment="1">
      <alignment horizontal="center" vertical="center"/>
    </xf>
    <xf numFmtId="0" fontId="1" fillId="0" borderId="8" xfId="0" applyFont="1" applyBorder="1" applyAlignment="1">
      <alignment wrapText="1"/>
    </xf>
    <xf numFmtId="165" fontId="2" fillId="0" borderId="1" xfId="2" applyNumberFormat="1" applyFont="1" applyBorder="1"/>
    <xf numFmtId="165" fontId="27" fillId="0" borderId="1" xfId="2" applyNumberFormat="1" applyFont="1" applyBorder="1"/>
    <xf numFmtId="165" fontId="2" fillId="0" borderId="17" xfId="2" applyNumberFormat="1" applyFont="1" applyBorder="1"/>
    <xf numFmtId="165" fontId="2" fillId="0" borderId="8" xfId="2" applyNumberFormat="1" applyFont="1" applyFill="1" applyBorder="1"/>
    <xf numFmtId="165" fontId="2" fillId="0" borderId="5" xfId="2" applyNumberFormat="1" applyFont="1" applyFill="1" applyBorder="1"/>
    <xf numFmtId="165" fontId="0" fillId="0" borderId="8" xfId="2" applyNumberFormat="1" applyFont="1" applyFill="1" applyBorder="1"/>
    <xf numFmtId="0" fontId="14" fillId="11" borderId="4" xfId="0" applyFont="1" applyFill="1" applyBorder="1"/>
    <xf numFmtId="0" fontId="14" fillId="11" borderId="1" xfId="0" applyFont="1" applyFill="1" applyBorder="1"/>
    <xf numFmtId="0" fontId="14" fillId="11" borderId="14" xfId="0" applyFont="1" applyFill="1" applyBorder="1"/>
    <xf numFmtId="0" fontId="15" fillId="15" borderId="2" xfId="0" applyFont="1" applyFill="1" applyBorder="1"/>
    <xf numFmtId="0" fontId="16" fillId="15" borderId="16" xfId="0" applyFont="1" applyFill="1" applyBorder="1"/>
    <xf numFmtId="0" fontId="16" fillId="15" borderId="17" xfId="0" applyFont="1" applyFill="1" applyBorder="1"/>
    <xf numFmtId="0" fontId="14" fillId="15" borderId="4" xfId="0" applyFont="1" applyFill="1" applyBorder="1"/>
    <xf numFmtId="0" fontId="0" fillId="15" borderId="1" xfId="0" applyFill="1" applyBorder="1"/>
    <xf numFmtId="0" fontId="0" fillId="15" borderId="14" xfId="0" applyFill="1" applyBorder="1"/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19" xfId="0" applyFont="1" applyBorder="1"/>
    <xf numFmtId="0" fontId="10" fillId="0" borderId="18" xfId="0" applyFont="1" applyBorder="1"/>
    <xf numFmtId="0" fontId="10" fillId="0" borderId="21" xfId="0" applyFont="1" applyBorder="1"/>
    <xf numFmtId="0" fontId="6" fillId="0" borderId="0" xfId="0" applyFont="1"/>
    <xf numFmtId="0" fontId="15" fillId="11" borderId="2" xfId="0" applyFont="1" applyFill="1" applyBorder="1"/>
    <xf numFmtId="0" fontId="15" fillId="11" borderId="16" xfId="0" applyFont="1" applyFill="1" applyBorder="1"/>
    <xf numFmtId="0" fontId="15" fillId="11" borderId="16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9" fillId="9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65" fontId="4" fillId="0" borderId="3" xfId="2" applyNumberFormat="1" applyFont="1" applyBorder="1" applyAlignment="1">
      <alignment horizontal="center" vertical="center"/>
    </xf>
    <xf numFmtId="165" fontId="0" fillId="0" borderId="5" xfId="2" applyNumberFormat="1" applyFont="1" applyBorder="1" applyAlignment="1">
      <alignment horizontal="center" vertical="center"/>
    </xf>
    <xf numFmtId="165" fontId="4" fillId="0" borderId="3" xfId="2" applyNumberFormat="1" applyFont="1" applyBorder="1" applyAlignment="1">
      <alignment horizontal="center" vertical="center" wrapText="1"/>
    </xf>
    <xf numFmtId="165" fontId="4" fillId="0" borderId="5" xfId="2" applyNumberFormat="1" applyFont="1" applyBorder="1" applyAlignment="1">
      <alignment horizontal="center" vertical="center" wrapText="1"/>
    </xf>
    <xf numFmtId="165" fontId="4" fillId="12" borderId="3" xfId="2" applyNumberFormat="1" applyFont="1" applyFill="1" applyBorder="1" applyAlignment="1">
      <alignment horizontal="center" vertical="center" wrapText="1"/>
    </xf>
    <xf numFmtId="165" fontId="4" fillId="12" borderId="5" xfId="2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165" fontId="8" fillId="4" borderId="3" xfId="2" applyNumberFormat="1" applyFont="1" applyFill="1" applyBorder="1" applyAlignment="1">
      <alignment horizontal="center"/>
    </xf>
    <xf numFmtId="165" fontId="8" fillId="4" borderId="5" xfId="2" applyNumberFormat="1" applyFont="1" applyFill="1" applyBorder="1" applyAlignment="1">
      <alignment horizontal="center"/>
    </xf>
    <xf numFmtId="165" fontId="8" fillId="5" borderId="3" xfId="2" applyNumberFormat="1" applyFont="1" applyFill="1" applyBorder="1" applyAlignment="1">
      <alignment horizontal="center" vertical="center"/>
    </xf>
    <xf numFmtId="165" fontId="8" fillId="5" borderId="5" xfId="2" applyNumberFormat="1" applyFont="1" applyFill="1" applyBorder="1" applyAlignment="1">
      <alignment horizontal="center" vertical="center"/>
    </xf>
    <xf numFmtId="165" fontId="8" fillId="0" borderId="3" xfId="2" applyNumberFormat="1" applyFont="1" applyBorder="1" applyAlignment="1">
      <alignment horizontal="center" vertical="center"/>
    </xf>
    <xf numFmtId="165" fontId="8" fillId="0" borderId="5" xfId="2" applyNumberFormat="1" applyFont="1" applyBorder="1" applyAlignment="1">
      <alignment horizontal="center" vertical="center"/>
    </xf>
    <xf numFmtId="165" fontId="8" fillId="7" borderId="3" xfId="2" applyNumberFormat="1" applyFont="1" applyFill="1" applyBorder="1" applyAlignment="1">
      <alignment horizontal="center" vertical="center"/>
    </xf>
    <xf numFmtId="165" fontId="8" fillId="7" borderId="5" xfId="2" applyNumberFormat="1" applyFont="1" applyFill="1" applyBorder="1" applyAlignment="1">
      <alignment horizontal="center" vertical="center"/>
    </xf>
    <xf numFmtId="165" fontId="0" fillId="0" borderId="5" xfId="2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8" fillId="0" borderId="0" xfId="0" applyFont="1"/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5"/>
  <sheetViews>
    <sheetView workbookViewId="0">
      <selection activeCell="Z20" sqref="Z20:Z21"/>
    </sheetView>
  </sheetViews>
  <sheetFormatPr defaultRowHeight="15" x14ac:dyDescent="0.25"/>
  <cols>
    <col min="4" max="4" width="9.85546875" bestFit="1" customWidth="1"/>
    <col min="5" max="5" width="1" customWidth="1"/>
    <col min="6" max="6" width="12" style="1" customWidth="1"/>
    <col min="7" max="7" width="10.85546875" style="1" customWidth="1"/>
    <col min="8" max="8" width="11.42578125" hidden="1" customWidth="1"/>
    <col min="9" max="9" width="10.42578125" style="1" hidden="1" customWidth="1"/>
    <col min="10" max="11" width="10.85546875" style="1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1" customWidth="1"/>
    <col min="22" max="22" width="12" style="1" customWidth="1"/>
    <col min="23" max="23" width="16.140625" style="1" customWidth="1"/>
  </cols>
  <sheetData>
    <row r="1" spans="1:23" ht="6" customHeight="1" x14ac:dyDescent="0.25"/>
    <row r="2" spans="1:23" ht="21" customHeight="1" x14ac:dyDescent="0.25">
      <c r="A2" s="2"/>
      <c r="B2" s="3"/>
      <c r="C2" s="4"/>
      <c r="D2" s="4"/>
      <c r="E2" s="4"/>
      <c r="F2" s="5"/>
      <c r="G2" s="6" t="s">
        <v>0</v>
      </c>
      <c r="H2" s="6"/>
      <c r="I2" s="6"/>
      <c r="J2" s="6"/>
      <c r="K2" s="6"/>
      <c r="L2" s="6"/>
      <c r="M2" s="7"/>
      <c r="N2" s="8"/>
      <c r="O2" s="8"/>
      <c r="P2" s="8"/>
      <c r="Q2" s="8"/>
      <c r="R2" s="8"/>
      <c r="S2" s="8"/>
      <c r="T2" s="8"/>
      <c r="U2" s="8"/>
    </row>
    <row r="3" spans="1:23" ht="37.5" customHeight="1" x14ac:dyDescent="0.3">
      <c r="A3" s="336" t="s">
        <v>1</v>
      </c>
      <c r="B3" s="337"/>
      <c r="C3" s="337"/>
      <c r="D3" s="337"/>
      <c r="E3" s="338"/>
      <c r="F3" s="319" t="s">
        <v>2</v>
      </c>
      <c r="G3" s="319" t="s">
        <v>2</v>
      </c>
      <c r="H3" s="10" t="s">
        <v>3</v>
      </c>
      <c r="I3" s="317" t="s">
        <v>4</v>
      </c>
      <c r="J3" s="317" t="s">
        <v>5</v>
      </c>
      <c r="K3" s="317" t="s">
        <v>6</v>
      </c>
      <c r="L3" s="317" t="s">
        <v>7</v>
      </c>
      <c r="M3" s="11" t="s">
        <v>8</v>
      </c>
      <c r="N3" s="11" t="s">
        <v>9</v>
      </c>
      <c r="O3" s="10"/>
      <c r="P3" s="10"/>
      <c r="Q3" s="10"/>
      <c r="R3" s="10"/>
      <c r="S3" s="12"/>
      <c r="T3" s="12"/>
      <c r="U3" s="319" t="s">
        <v>10</v>
      </c>
      <c r="V3" s="319" t="s">
        <v>11</v>
      </c>
      <c r="W3" s="329" t="s">
        <v>12</v>
      </c>
    </row>
    <row r="4" spans="1:23" ht="0.75" customHeight="1" x14ac:dyDescent="0.25">
      <c r="A4" s="13"/>
      <c r="B4" s="14"/>
      <c r="C4" s="14"/>
      <c r="D4" s="14"/>
      <c r="E4" s="14"/>
      <c r="F4" s="320"/>
      <c r="G4" s="320"/>
      <c r="H4" s="15" t="s">
        <v>13</v>
      </c>
      <c r="I4" s="318"/>
      <c r="J4" s="318"/>
      <c r="K4" s="318"/>
      <c r="L4" s="318"/>
      <c r="M4" s="16" t="s">
        <v>8</v>
      </c>
      <c r="N4" s="16" t="s">
        <v>9</v>
      </c>
      <c r="O4" s="17" t="s">
        <v>14</v>
      </c>
      <c r="P4" s="17" t="s">
        <v>15</v>
      </c>
      <c r="Q4" s="17" t="s">
        <v>16</v>
      </c>
      <c r="R4" s="17" t="s">
        <v>17</v>
      </c>
      <c r="S4" s="18" t="s">
        <v>18</v>
      </c>
      <c r="T4" s="18" t="s">
        <v>19</v>
      </c>
      <c r="U4" s="320"/>
      <c r="V4" s="328"/>
      <c r="W4" s="330"/>
    </row>
    <row r="5" spans="1:23" ht="15.75" x14ac:dyDescent="0.25">
      <c r="A5" s="19" t="s">
        <v>20</v>
      </c>
      <c r="B5" s="20"/>
      <c r="C5" s="20"/>
      <c r="D5" s="20"/>
      <c r="E5" s="20"/>
      <c r="F5" s="21">
        <v>25090303</v>
      </c>
      <c r="G5" s="22">
        <f>F5/12</f>
        <v>2090858.5833333333</v>
      </c>
      <c r="H5" s="23"/>
      <c r="I5" s="24">
        <v>2150745</v>
      </c>
      <c r="J5" s="24">
        <v>2150245</v>
      </c>
      <c r="K5" s="24">
        <v>1812865</v>
      </c>
      <c r="L5" s="23">
        <v>1921915</v>
      </c>
      <c r="M5" s="25">
        <v>2257168</v>
      </c>
      <c r="N5" s="26">
        <v>1834383</v>
      </c>
      <c r="O5" s="27"/>
      <c r="P5" s="27"/>
      <c r="Q5" s="27"/>
      <c r="R5" s="27"/>
      <c r="S5" s="28"/>
      <c r="T5" s="28"/>
      <c r="U5" s="29">
        <f t="shared" ref="U5:U31" si="0">SUM(I5:T5)</f>
        <v>12127321</v>
      </c>
      <c r="V5" s="30">
        <f>G5*6</f>
        <v>12545151.5</v>
      </c>
      <c r="W5" s="31">
        <f>U5-V5</f>
        <v>-417830.5</v>
      </c>
    </row>
    <row r="6" spans="1:23" ht="15.75" x14ac:dyDescent="0.25">
      <c r="A6" s="19" t="s">
        <v>21</v>
      </c>
      <c r="B6" s="20"/>
      <c r="C6" s="20"/>
      <c r="D6" s="20"/>
      <c r="E6" s="20"/>
      <c r="F6" s="32"/>
      <c r="G6" s="32"/>
      <c r="H6" s="33"/>
      <c r="I6" s="32"/>
      <c r="J6" s="32"/>
      <c r="K6" s="32"/>
      <c r="L6" s="33"/>
      <c r="M6" s="34"/>
      <c r="N6" s="34"/>
      <c r="O6" s="33"/>
      <c r="P6" s="33"/>
      <c r="Q6" s="33"/>
      <c r="R6" s="33"/>
      <c r="S6" s="35"/>
      <c r="T6" s="28"/>
      <c r="U6" s="29">
        <f t="shared" si="0"/>
        <v>0</v>
      </c>
      <c r="V6" s="30"/>
      <c r="W6" s="36"/>
    </row>
    <row r="7" spans="1:23" ht="15.75" x14ac:dyDescent="0.25">
      <c r="A7" s="19" t="s">
        <v>22</v>
      </c>
      <c r="B7" s="20"/>
      <c r="C7" s="20"/>
      <c r="D7" s="20"/>
      <c r="E7" s="20"/>
      <c r="F7" s="37">
        <v>200000</v>
      </c>
      <c r="G7" s="38">
        <f>F7/12</f>
        <v>16666.666666666668</v>
      </c>
      <c r="H7" s="27"/>
      <c r="I7" s="24">
        <f>35940+340</f>
        <v>36280</v>
      </c>
      <c r="J7" s="24">
        <v>58470</v>
      </c>
      <c r="K7" s="24">
        <v>37120</v>
      </c>
      <c r="L7" s="23">
        <v>28150</v>
      </c>
      <c r="M7" s="25">
        <v>55530</v>
      </c>
      <c r="N7" s="26">
        <v>37600</v>
      </c>
      <c r="O7" s="27"/>
      <c r="P7" s="27"/>
      <c r="Q7" s="27"/>
      <c r="R7" s="27"/>
      <c r="S7" s="28"/>
      <c r="T7" s="28"/>
      <c r="U7" s="29">
        <f t="shared" si="0"/>
        <v>253150</v>
      </c>
      <c r="V7" s="30">
        <f>G7*6</f>
        <v>100000</v>
      </c>
      <c r="W7" s="31">
        <f>U7-V7</f>
        <v>153150</v>
      </c>
    </row>
    <row r="8" spans="1:23" ht="15.75" x14ac:dyDescent="0.25">
      <c r="A8" s="19" t="s">
        <v>23</v>
      </c>
      <c r="B8" s="20"/>
      <c r="C8" s="20"/>
      <c r="D8" s="20"/>
      <c r="E8" s="20"/>
      <c r="F8" s="32"/>
      <c r="G8" s="32"/>
      <c r="H8" s="33"/>
      <c r="I8" s="39"/>
      <c r="J8" s="39"/>
      <c r="K8" s="39"/>
      <c r="L8" s="27"/>
      <c r="M8" s="40"/>
      <c r="N8" s="40"/>
      <c r="O8" s="27"/>
      <c r="P8" s="27"/>
      <c r="Q8" s="27"/>
      <c r="R8" s="27"/>
      <c r="S8" s="28"/>
      <c r="T8" s="28"/>
      <c r="U8" s="29">
        <f t="shared" si="0"/>
        <v>0</v>
      </c>
      <c r="V8" s="30"/>
      <c r="W8" s="41"/>
    </row>
    <row r="9" spans="1:23" ht="15.75" x14ac:dyDescent="0.25">
      <c r="A9" s="42" t="s">
        <v>24</v>
      </c>
      <c r="B9" s="43"/>
      <c r="C9" s="44"/>
      <c r="D9" s="44"/>
      <c r="E9" s="44"/>
      <c r="F9" s="45"/>
      <c r="G9" s="45"/>
      <c r="H9" s="42"/>
      <c r="I9" s="46">
        <f>15000+99836+10860+240</f>
        <v>125936</v>
      </c>
      <c r="J9" s="46">
        <v>15240</v>
      </c>
      <c r="K9" s="47">
        <v>15240</v>
      </c>
      <c r="L9" s="48">
        <v>107699</v>
      </c>
      <c r="M9" s="49">
        <v>26100</v>
      </c>
      <c r="N9" s="50">
        <v>15240</v>
      </c>
      <c r="O9" s="42"/>
      <c r="P9" s="42"/>
      <c r="Q9" s="51"/>
      <c r="R9" s="42"/>
      <c r="S9" s="52"/>
      <c r="T9" s="52"/>
      <c r="U9" s="53">
        <f t="shared" si="0"/>
        <v>305455</v>
      </c>
      <c r="V9" s="54">
        <f>G9*5</f>
        <v>0</v>
      </c>
      <c r="W9" s="55">
        <f>U9-V9</f>
        <v>305455</v>
      </c>
    </row>
    <row r="10" spans="1:23" ht="15.75" x14ac:dyDescent="0.25">
      <c r="A10" s="331" t="s">
        <v>25</v>
      </c>
      <c r="B10" s="332"/>
      <c r="C10" s="332"/>
      <c r="D10" s="332"/>
      <c r="E10" s="333"/>
      <c r="F10" s="56">
        <f t="shared" ref="F10:N10" si="1">SUM(F5:F9)</f>
        <v>25290303</v>
      </c>
      <c r="G10" s="57">
        <f t="shared" si="1"/>
        <v>2107525.25</v>
      </c>
      <c r="H10" s="58">
        <f>SUM(H5:H9)</f>
        <v>0</v>
      </c>
      <c r="I10" s="59">
        <f t="shared" si="1"/>
        <v>2312961</v>
      </c>
      <c r="J10" s="59">
        <f t="shared" si="1"/>
        <v>2223955</v>
      </c>
      <c r="K10" s="59">
        <f t="shared" si="1"/>
        <v>1865225</v>
      </c>
      <c r="L10" s="59">
        <f t="shared" si="1"/>
        <v>2057764</v>
      </c>
      <c r="M10" s="59">
        <f t="shared" si="1"/>
        <v>2338798</v>
      </c>
      <c r="N10" s="59">
        <f t="shared" si="1"/>
        <v>1887223</v>
      </c>
      <c r="O10" s="60"/>
      <c r="P10" s="60"/>
      <c r="Q10" s="60"/>
      <c r="R10" s="60"/>
      <c r="S10" s="61"/>
      <c r="T10" s="61"/>
      <c r="U10" s="62">
        <f>SUM(I10:T10)</f>
        <v>12685926</v>
      </c>
      <c r="V10" s="30">
        <f>G10*6</f>
        <v>12645151.5</v>
      </c>
      <c r="W10" s="63">
        <f>U10-V10</f>
        <v>40774.5</v>
      </c>
    </row>
    <row r="11" spans="1:23" ht="33" customHeight="1" x14ac:dyDescent="0.3">
      <c r="A11" s="334" t="s">
        <v>26</v>
      </c>
      <c r="B11" s="335"/>
      <c r="C11" s="335"/>
      <c r="D11" s="335"/>
      <c r="E11" s="335"/>
      <c r="F11" s="64"/>
      <c r="G11" s="64"/>
      <c r="H11" s="65"/>
      <c r="I11" s="64"/>
      <c r="J11" s="64"/>
      <c r="K11" s="64"/>
      <c r="L11" s="65"/>
      <c r="M11" s="66"/>
      <c r="N11" s="66"/>
      <c r="O11" s="65"/>
      <c r="P11" s="65"/>
      <c r="Q11" s="65"/>
      <c r="R11" s="65"/>
      <c r="S11" s="67"/>
      <c r="T11" s="67"/>
      <c r="U11" s="68"/>
      <c r="V11" s="69"/>
      <c r="W11" s="70" t="s">
        <v>27</v>
      </c>
    </row>
    <row r="12" spans="1:23" ht="15.75" x14ac:dyDescent="0.25">
      <c r="A12" s="71" t="s">
        <v>28</v>
      </c>
      <c r="B12" s="72"/>
      <c r="C12" s="72"/>
      <c r="D12" s="72"/>
      <c r="E12" s="72"/>
      <c r="F12" s="21">
        <v>900000</v>
      </c>
      <c r="G12" s="22">
        <f t="shared" ref="G12:G31" si="2">F12/12</f>
        <v>75000</v>
      </c>
      <c r="H12" s="33"/>
      <c r="I12" s="73">
        <f>'общехоз расходы'!B76</f>
        <v>0</v>
      </c>
      <c r="J12" s="73">
        <f>'общехоз расходы'!C76</f>
        <v>0</v>
      </c>
      <c r="K12" s="73">
        <f>'общехоз расходы'!D76</f>
        <v>0</v>
      </c>
      <c r="L12" s="73">
        <f>'общехоз расходы'!E76</f>
        <v>0</v>
      </c>
      <c r="M12" s="73">
        <f>'общехоз расходы'!F76</f>
        <v>0</v>
      </c>
      <c r="N12" s="73">
        <f>'общехоз расходы'!G76</f>
        <v>0</v>
      </c>
      <c r="O12" s="27"/>
      <c r="P12" s="27"/>
      <c r="Q12" s="27"/>
      <c r="R12" s="27"/>
      <c r="S12" s="28"/>
      <c r="T12" s="28"/>
      <c r="U12" s="29">
        <f t="shared" si="0"/>
        <v>0</v>
      </c>
      <c r="V12" s="30">
        <f t="shared" ref="V12:V31" si="3">G12*6</f>
        <v>450000</v>
      </c>
      <c r="W12" s="74">
        <f t="shared" ref="W12:W31" si="4">V12-U12</f>
        <v>450000</v>
      </c>
    </row>
    <row r="13" spans="1:23" ht="15.75" x14ac:dyDescent="0.25">
      <c r="A13" s="13" t="s">
        <v>29</v>
      </c>
      <c r="B13" s="14"/>
      <c r="C13" s="14"/>
      <c r="D13" s="14"/>
      <c r="E13" s="14"/>
      <c r="F13" s="56">
        <v>160000</v>
      </c>
      <c r="G13" s="22">
        <f t="shared" si="2"/>
        <v>13333.333333333334</v>
      </c>
      <c r="H13" s="75"/>
      <c r="I13" s="76">
        <f>'программ обеспечение'!B10</f>
        <v>0</v>
      </c>
      <c r="J13" s="76">
        <f>'программ обеспечение'!C10</f>
        <v>0</v>
      </c>
      <c r="K13" s="76">
        <f>'программ обеспечение'!D10</f>
        <v>0</v>
      </c>
      <c r="L13" s="76">
        <f>'программ обеспечение'!E10</f>
        <v>0</v>
      </c>
      <c r="M13" s="76">
        <f>'программ обеспечение'!F10</f>
        <v>0</v>
      </c>
      <c r="N13" s="76">
        <f>'программ обеспечение'!G10</f>
        <v>0</v>
      </c>
      <c r="O13" s="60"/>
      <c r="P13" s="60"/>
      <c r="Q13" s="60"/>
      <c r="R13" s="60"/>
      <c r="S13" s="61"/>
      <c r="T13" s="61"/>
      <c r="U13" s="29">
        <f t="shared" si="0"/>
        <v>0</v>
      </c>
      <c r="V13" s="30">
        <f t="shared" si="3"/>
        <v>80000</v>
      </c>
      <c r="W13" s="74">
        <f t="shared" si="4"/>
        <v>80000</v>
      </c>
    </row>
    <row r="14" spans="1:23" ht="15.75" x14ac:dyDescent="0.25">
      <c r="A14" s="71" t="s">
        <v>30</v>
      </c>
      <c r="B14" s="72"/>
      <c r="C14" s="72"/>
      <c r="D14" s="72"/>
      <c r="E14" s="77"/>
      <c r="F14" s="21">
        <v>140000</v>
      </c>
      <c r="G14" s="22">
        <f t="shared" si="2"/>
        <v>11666.666666666666</v>
      </c>
      <c r="H14" s="33"/>
      <c r="I14" s="73">
        <f>'услуги связи'!B7</f>
        <v>6700</v>
      </c>
      <c r="J14" s="73">
        <f>'услуги связи'!C7</f>
        <v>6700</v>
      </c>
      <c r="K14" s="73">
        <f>'услуги связи'!D7</f>
        <v>0</v>
      </c>
      <c r="L14" s="73">
        <f>'услуги связи'!E7</f>
        <v>0</v>
      </c>
      <c r="M14" s="73">
        <f>'услуги связи'!F7</f>
        <v>0</v>
      </c>
      <c r="N14" s="73">
        <f>'услуги связи'!G7</f>
        <v>0</v>
      </c>
      <c r="O14" s="27"/>
      <c r="P14" s="27"/>
      <c r="Q14" s="27"/>
      <c r="R14" s="27"/>
      <c r="S14" s="28"/>
      <c r="T14" s="28"/>
      <c r="U14" s="29">
        <f t="shared" si="0"/>
        <v>13400</v>
      </c>
      <c r="V14" s="30">
        <f t="shared" si="3"/>
        <v>70000</v>
      </c>
      <c r="W14" s="74">
        <f t="shared" si="4"/>
        <v>56600</v>
      </c>
    </row>
    <row r="15" spans="1:23" ht="15.75" x14ac:dyDescent="0.25">
      <c r="A15" s="13" t="s">
        <v>31</v>
      </c>
      <c r="B15" s="14"/>
      <c r="C15" s="14"/>
      <c r="D15" s="14"/>
      <c r="E15" s="78"/>
      <c r="F15" s="56">
        <v>300000</v>
      </c>
      <c r="G15" s="22">
        <f t="shared" si="2"/>
        <v>25000</v>
      </c>
      <c r="H15" s="75"/>
      <c r="I15" s="76" t="e">
        <f>#REF!</f>
        <v>#REF!</v>
      </c>
      <c r="J15" s="76" t="e">
        <f>#REF!</f>
        <v>#REF!</v>
      </c>
      <c r="K15" s="76" t="e">
        <f>#REF!</f>
        <v>#REF!</v>
      </c>
      <c r="L15" s="76" t="e">
        <f>#REF!</f>
        <v>#REF!</v>
      </c>
      <c r="M15" s="76">
        <f>'программ обеспечение'!F12</f>
        <v>0</v>
      </c>
      <c r="N15" s="76">
        <f>'программ обеспечение'!G12</f>
        <v>0</v>
      </c>
      <c r="O15" s="60"/>
      <c r="P15" s="60"/>
      <c r="Q15" s="60"/>
      <c r="R15" s="60"/>
      <c r="S15" s="61"/>
      <c r="T15" s="61"/>
      <c r="U15" s="29" t="e">
        <f t="shared" si="0"/>
        <v>#REF!</v>
      </c>
      <c r="V15" s="30">
        <f t="shared" si="3"/>
        <v>150000</v>
      </c>
      <c r="W15" s="74" t="e">
        <f t="shared" si="4"/>
        <v>#REF!</v>
      </c>
    </row>
    <row r="16" spans="1:23" ht="15.75" x14ac:dyDescent="0.25">
      <c r="A16" s="13" t="s">
        <v>32</v>
      </c>
      <c r="B16" s="14"/>
      <c r="C16" s="14"/>
      <c r="D16" s="14"/>
      <c r="E16" s="78"/>
      <c r="F16" s="56">
        <v>7890000</v>
      </c>
      <c r="G16" s="22">
        <f t="shared" si="2"/>
        <v>657500</v>
      </c>
      <c r="H16" s="75"/>
      <c r="I16" s="76">
        <f>'з пл'!B6</f>
        <v>657200.37999999989</v>
      </c>
      <c r="J16" s="76">
        <f>'з пл'!C6</f>
        <v>730270.34</v>
      </c>
      <c r="K16" s="76">
        <f>'з пл'!D6</f>
        <v>0</v>
      </c>
      <c r="L16" s="76">
        <f>'з пл'!E6</f>
        <v>0</v>
      </c>
      <c r="M16" s="76">
        <f>'з пл'!F6</f>
        <v>0</v>
      </c>
      <c r="N16" s="76">
        <f>'з пл'!G6</f>
        <v>0</v>
      </c>
      <c r="O16" s="60"/>
      <c r="P16" s="60"/>
      <c r="Q16" s="60"/>
      <c r="R16" s="60"/>
      <c r="S16" s="61"/>
      <c r="T16" s="61"/>
      <c r="U16" s="29">
        <f t="shared" si="0"/>
        <v>1387470.7199999997</v>
      </c>
      <c r="V16" s="30">
        <f t="shared" si="3"/>
        <v>3945000</v>
      </c>
      <c r="W16" s="74">
        <f t="shared" si="4"/>
        <v>2557529.2800000003</v>
      </c>
    </row>
    <row r="17" spans="1:24" ht="15.75" x14ac:dyDescent="0.25">
      <c r="A17" s="13" t="s">
        <v>33</v>
      </c>
      <c r="B17" s="14"/>
      <c r="C17" s="14"/>
      <c r="D17" s="14"/>
      <c r="E17" s="14"/>
      <c r="F17" s="56">
        <v>500000</v>
      </c>
      <c r="G17" s="22">
        <f t="shared" si="2"/>
        <v>41666.666666666664</v>
      </c>
      <c r="H17" s="75"/>
      <c r="I17" s="76">
        <f>'премиальный фонд'!B5</f>
        <v>0</v>
      </c>
      <c r="J17" s="76">
        <f>'премиальный фонд'!C5</f>
        <v>0</v>
      </c>
      <c r="K17" s="76">
        <f>'премиальный фонд'!D5</f>
        <v>0</v>
      </c>
      <c r="L17" s="76">
        <f>'премиальный фонд'!E5</f>
        <v>0</v>
      </c>
      <c r="M17" s="76">
        <f>'премиальный фонд'!F5</f>
        <v>0</v>
      </c>
      <c r="N17" s="76">
        <f>'премиальный фонд'!G5</f>
        <v>0</v>
      </c>
      <c r="O17" s="60"/>
      <c r="P17" s="60"/>
      <c r="Q17" s="60"/>
      <c r="R17" s="60"/>
      <c r="S17" s="61"/>
      <c r="T17" s="61"/>
      <c r="U17" s="29">
        <f t="shared" si="0"/>
        <v>0</v>
      </c>
      <c r="V17" s="30">
        <f t="shared" si="3"/>
        <v>250000</v>
      </c>
      <c r="W17" s="74">
        <f t="shared" si="4"/>
        <v>250000</v>
      </c>
    </row>
    <row r="18" spans="1:24" ht="15.75" x14ac:dyDescent="0.25">
      <c r="A18" s="13" t="s">
        <v>34</v>
      </c>
      <c r="B18" s="14"/>
      <c r="C18" s="14"/>
      <c r="D18" s="14"/>
      <c r="E18" s="14"/>
      <c r="F18" s="56">
        <v>2517000</v>
      </c>
      <c r="G18" s="22">
        <f t="shared" si="2"/>
        <v>209750</v>
      </c>
      <c r="H18" s="75"/>
      <c r="I18" s="76">
        <f>'налог с ФОТ'!B6</f>
        <v>310824.7</v>
      </c>
      <c r="J18" s="76">
        <f>'налог с ФОТ'!C6</f>
        <v>178176.03</v>
      </c>
      <c r="K18" s="76">
        <f>'налог с ФОТ'!D6</f>
        <v>0</v>
      </c>
      <c r="L18" s="76">
        <f>'налог с ФОТ'!E6</f>
        <v>0</v>
      </c>
      <c r="M18" s="76">
        <f>'налог с ФОТ'!F6</f>
        <v>0</v>
      </c>
      <c r="N18" s="76">
        <f>'налог с ФОТ'!G6</f>
        <v>0</v>
      </c>
      <c r="O18" s="60"/>
      <c r="P18" s="60"/>
      <c r="Q18" s="60"/>
      <c r="R18" s="60"/>
      <c r="S18" s="61"/>
      <c r="T18" s="61"/>
      <c r="U18" s="29">
        <f t="shared" si="0"/>
        <v>489000.73</v>
      </c>
      <c r="V18" s="30">
        <f t="shared" si="3"/>
        <v>1258500</v>
      </c>
      <c r="W18" s="74">
        <f t="shared" si="4"/>
        <v>769499.27</v>
      </c>
    </row>
    <row r="19" spans="1:24" ht="15.75" x14ac:dyDescent="0.25">
      <c r="A19" s="13" t="s">
        <v>35</v>
      </c>
      <c r="B19" s="14"/>
      <c r="C19" s="14"/>
      <c r="D19" s="14"/>
      <c r="E19" s="14"/>
      <c r="F19" s="56">
        <v>200000</v>
      </c>
      <c r="G19" s="22">
        <f t="shared" si="2"/>
        <v>16666.666666666668</v>
      </c>
      <c r="H19" s="75"/>
      <c r="I19" s="76">
        <f>инвентарь!B27</f>
        <v>8650</v>
      </c>
      <c r="J19" s="76">
        <f>инвентарь!C27</f>
        <v>14935</v>
      </c>
      <c r="K19" s="76">
        <f>инвентарь!D27</f>
        <v>0</v>
      </c>
      <c r="L19" s="76">
        <f>инвентарь!E27</f>
        <v>0</v>
      </c>
      <c r="M19" s="76">
        <f>инвентарь!F27</f>
        <v>0</v>
      </c>
      <c r="N19" s="76">
        <f>инвентарь!G27</f>
        <v>0</v>
      </c>
      <c r="O19" s="60"/>
      <c r="P19" s="60"/>
      <c r="Q19" s="60"/>
      <c r="R19" s="60"/>
      <c r="S19" s="61"/>
      <c r="T19" s="61"/>
      <c r="U19" s="29">
        <f t="shared" si="0"/>
        <v>23585</v>
      </c>
      <c r="V19" s="30">
        <f t="shared" si="3"/>
        <v>100000</v>
      </c>
      <c r="W19" s="74">
        <f t="shared" si="4"/>
        <v>76415</v>
      </c>
    </row>
    <row r="20" spans="1:24" ht="15.75" x14ac:dyDescent="0.25">
      <c r="A20" s="71" t="s">
        <v>36</v>
      </c>
      <c r="B20" s="72"/>
      <c r="C20" s="72"/>
      <c r="D20" s="72"/>
      <c r="E20" s="72"/>
      <c r="F20" s="21">
        <v>1950000</v>
      </c>
      <c r="G20" s="22">
        <f t="shared" si="2"/>
        <v>162500</v>
      </c>
      <c r="H20" s="33"/>
      <c r="I20" s="73">
        <f>мусор!B10</f>
        <v>454017.63</v>
      </c>
      <c r="J20" s="73">
        <f>мусор!C10</f>
        <v>501017.63</v>
      </c>
      <c r="K20" s="73">
        <f>мусор!D10</f>
        <v>0</v>
      </c>
      <c r="L20" s="73">
        <f>мусор!E10</f>
        <v>0</v>
      </c>
      <c r="M20" s="73">
        <f>мусор!F10</f>
        <v>0</v>
      </c>
      <c r="N20" s="73">
        <f>мусор!G10</f>
        <v>0</v>
      </c>
      <c r="O20" s="27"/>
      <c r="P20" s="27"/>
      <c r="Q20" s="27"/>
      <c r="R20" s="27"/>
      <c r="S20" s="28"/>
      <c r="T20" s="28"/>
      <c r="U20" s="29">
        <f t="shared" si="0"/>
        <v>955035.26</v>
      </c>
      <c r="V20" s="30">
        <f t="shared" si="3"/>
        <v>975000</v>
      </c>
      <c r="W20" s="74">
        <f t="shared" si="4"/>
        <v>19964.739999999991</v>
      </c>
    </row>
    <row r="21" spans="1:24" ht="15.75" x14ac:dyDescent="0.25">
      <c r="A21" s="71" t="s">
        <v>37</v>
      </c>
      <c r="B21" s="72"/>
      <c r="C21" s="72"/>
      <c r="D21" s="72"/>
      <c r="E21" s="77"/>
      <c r="F21" s="21">
        <v>7400000</v>
      </c>
      <c r="G21" s="22">
        <f t="shared" si="2"/>
        <v>616666.66666666663</v>
      </c>
      <c r="H21" s="33"/>
      <c r="I21" s="73" t="e">
        <f>#REF!</f>
        <v>#REF!</v>
      </c>
      <c r="J21" s="73" t="e">
        <f>#REF!</f>
        <v>#REF!</v>
      </c>
      <c r="K21" s="73" t="e">
        <f>#REF!</f>
        <v>#REF!</v>
      </c>
      <c r="L21" s="73" t="e">
        <f>#REF!</f>
        <v>#REF!</v>
      </c>
      <c r="M21" s="73" t="e">
        <f>#REF!</f>
        <v>#REF!</v>
      </c>
      <c r="N21" s="73" t="e">
        <f>#REF!</f>
        <v>#REF!</v>
      </c>
      <c r="O21" s="27"/>
      <c r="P21" s="27"/>
      <c r="Q21" s="27"/>
      <c r="R21" s="27"/>
      <c r="S21" s="28"/>
      <c r="T21" s="28"/>
      <c r="U21" s="29" t="e">
        <f t="shared" si="0"/>
        <v>#REF!</v>
      </c>
      <c r="V21" s="30">
        <f t="shared" si="3"/>
        <v>3700000</v>
      </c>
      <c r="W21" s="74" t="e">
        <f t="shared" si="4"/>
        <v>#REF!</v>
      </c>
    </row>
    <row r="22" spans="1:24" ht="15.75" x14ac:dyDescent="0.25">
      <c r="A22" s="13" t="s">
        <v>38</v>
      </c>
      <c r="B22" s="14"/>
      <c r="C22" s="14"/>
      <c r="D22" s="14"/>
      <c r="E22" s="14"/>
      <c r="F22" s="56">
        <v>230000</v>
      </c>
      <c r="G22" s="22">
        <f t="shared" si="2"/>
        <v>19166.666666666668</v>
      </c>
      <c r="H22" s="75"/>
      <c r="I22" s="76">
        <f>газ!B6</f>
        <v>0</v>
      </c>
      <c r="J22" s="76">
        <f>газ!C6</f>
        <v>0</v>
      </c>
      <c r="K22" s="76">
        <f>газ!D6</f>
        <v>0</v>
      </c>
      <c r="L22" s="76">
        <f>газ!E6</f>
        <v>0</v>
      </c>
      <c r="M22" s="76">
        <f>газ!F6</f>
        <v>0</v>
      </c>
      <c r="N22" s="76">
        <f>газ!G6</f>
        <v>0</v>
      </c>
      <c r="O22" s="60"/>
      <c r="P22" s="60"/>
      <c r="Q22" s="60"/>
      <c r="R22" s="60"/>
      <c r="S22" s="61"/>
      <c r="T22" s="61"/>
      <c r="U22" s="29">
        <f t="shared" si="0"/>
        <v>0</v>
      </c>
      <c r="V22" s="30">
        <f t="shared" si="3"/>
        <v>115000</v>
      </c>
      <c r="W22" s="74">
        <f t="shared" si="4"/>
        <v>115000</v>
      </c>
    </row>
    <row r="23" spans="1:24" ht="15.75" x14ac:dyDescent="0.25">
      <c r="A23" s="71" t="s">
        <v>39</v>
      </c>
      <c r="B23" s="72"/>
      <c r="C23" s="72"/>
      <c r="D23" s="72"/>
      <c r="E23" s="72"/>
      <c r="F23" s="21">
        <v>1240000</v>
      </c>
      <c r="G23" s="22">
        <f t="shared" si="2"/>
        <v>103333.33333333333</v>
      </c>
      <c r="H23" s="33"/>
      <c r="I23" s="73">
        <f>вода!B30</f>
        <v>0</v>
      </c>
      <c r="J23" s="73">
        <f>вода!C30</f>
        <v>74532</v>
      </c>
      <c r="K23" s="73">
        <f>вода!D30</f>
        <v>0</v>
      </c>
      <c r="L23" s="73">
        <f>вода!E30</f>
        <v>0</v>
      </c>
      <c r="M23" s="73">
        <f>вода!F30</f>
        <v>0</v>
      </c>
      <c r="N23" s="73">
        <f>вода!G30</f>
        <v>0</v>
      </c>
      <c r="O23" s="27"/>
      <c r="P23" s="27"/>
      <c r="Q23" s="27"/>
      <c r="R23" s="27"/>
      <c r="S23" s="28"/>
      <c r="T23" s="28"/>
      <c r="U23" s="29">
        <f t="shared" si="0"/>
        <v>74532</v>
      </c>
      <c r="V23" s="30">
        <f t="shared" si="3"/>
        <v>620000</v>
      </c>
      <c r="W23" s="74">
        <f t="shared" si="4"/>
        <v>545468</v>
      </c>
    </row>
    <row r="24" spans="1:24" ht="15.75" x14ac:dyDescent="0.25">
      <c r="A24" s="71" t="s">
        <v>40</v>
      </c>
      <c r="B24" s="72"/>
      <c r="C24" s="72"/>
      <c r="D24" s="72"/>
      <c r="E24" s="72"/>
      <c r="F24" s="21">
        <f>250000+480000</f>
        <v>730000</v>
      </c>
      <c r="G24" s="22">
        <f t="shared" si="2"/>
        <v>60833.333333333336</v>
      </c>
      <c r="H24" s="33"/>
      <c r="I24" s="73" t="e">
        <f>#REF!</f>
        <v>#REF!</v>
      </c>
      <c r="J24" s="73" t="e">
        <f>#REF!</f>
        <v>#REF!</v>
      </c>
      <c r="K24" s="73" t="e">
        <f>#REF!</f>
        <v>#REF!</v>
      </c>
      <c r="L24" s="73" t="e">
        <f>#REF!</f>
        <v>#REF!</v>
      </c>
      <c r="M24" s="73" t="e">
        <f>#REF!</f>
        <v>#REF!</v>
      </c>
      <c r="N24" s="73" t="e">
        <f>#REF!</f>
        <v>#REF!</v>
      </c>
      <c r="O24" s="27"/>
      <c r="P24" s="27"/>
      <c r="Q24" s="27"/>
      <c r="R24" s="27"/>
      <c r="S24" s="28"/>
      <c r="T24" s="28"/>
      <c r="U24" s="29" t="e">
        <f t="shared" si="0"/>
        <v>#REF!</v>
      </c>
      <c r="V24" s="30">
        <f t="shared" si="3"/>
        <v>365000</v>
      </c>
      <c r="W24" s="74" t="e">
        <f t="shared" si="4"/>
        <v>#REF!</v>
      </c>
    </row>
    <row r="25" spans="1:24" ht="15.75" x14ac:dyDescent="0.25">
      <c r="A25" s="71" t="s">
        <v>41</v>
      </c>
      <c r="B25" s="72"/>
      <c r="C25" s="72"/>
      <c r="D25" s="72"/>
      <c r="E25" s="72"/>
      <c r="F25" s="21">
        <v>250000</v>
      </c>
      <c r="G25" s="22">
        <f t="shared" si="2"/>
        <v>20833.333333333332</v>
      </c>
      <c r="H25" s="33"/>
      <c r="I25" s="73" t="e">
        <f>#REF!</f>
        <v>#REF!</v>
      </c>
      <c r="J25" s="73" t="e">
        <f>#REF!</f>
        <v>#REF!</v>
      </c>
      <c r="K25" s="73" t="e">
        <f>#REF!</f>
        <v>#REF!</v>
      </c>
      <c r="L25" s="73" t="e">
        <f>#REF!</f>
        <v>#REF!</v>
      </c>
      <c r="M25" s="73" t="e">
        <f>#REF!</f>
        <v>#REF!</v>
      </c>
      <c r="N25" s="73" t="e">
        <f>#REF!</f>
        <v>#REF!</v>
      </c>
      <c r="O25" s="27"/>
      <c r="P25" s="27"/>
      <c r="Q25" s="27"/>
      <c r="R25" s="27"/>
      <c r="S25" s="28"/>
      <c r="T25" s="28"/>
      <c r="U25" s="29" t="e">
        <f t="shared" si="0"/>
        <v>#REF!</v>
      </c>
      <c r="V25" s="30">
        <f t="shared" si="3"/>
        <v>125000</v>
      </c>
      <c r="W25" s="74" t="e">
        <f t="shared" si="4"/>
        <v>#REF!</v>
      </c>
    </row>
    <row r="26" spans="1:24" ht="15.75" x14ac:dyDescent="0.25">
      <c r="A26" s="71" t="s">
        <v>42</v>
      </c>
      <c r="B26" s="72"/>
      <c r="C26" s="72"/>
      <c r="D26" s="72"/>
      <c r="E26" s="72"/>
      <c r="F26" s="21">
        <v>1800000</v>
      </c>
      <c r="G26" s="22">
        <f t="shared" si="2"/>
        <v>150000</v>
      </c>
      <c r="H26" s="33"/>
      <c r="I26" s="73">
        <f>электроснабжение!B49</f>
        <v>208004.6</v>
      </c>
      <c r="J26" s="73">
        <f>электроснабжение!C49</f>
        <v>150336.35</v>
      </c>
      <c r="K26" s="73">
        <f>электроснабжение!D49</f>
        <v>0</v>
      </c>
      <c r="L26" s="73">
        <f>электроснабжение!E49</f>
        <v>0</v>
      </c>
      <c r="M26" s="73">
        <f>электроснабжение!F49</f>
        <v>0</v>
      </c>
      <c r="N26" s="73">
        <f>электроснабжение!G49</f>
        <v>0</v>
      </c>
      <c r="O26" s="27"/>
      <c r="P26" s="27"/>
      <c r="Q26" s="27"/>
      <c r="R26" s="27"/>
      <c r="S26" s="28"/>
      <c r="T26" s="28"/>
      <c r="U26" s="29">
        <f t="shared" si="0"/>
        <v>358340.95</v>
      </c>
      <c r="V26" s="30">
        <f t="shared" si="3"/>
        <v>900000</v>
      </c>
      <c r="W26" s="74">
        <f t="shared" si="4"/>
        <v>541659.05000000005</v>
      </c>
    </row>
    <row r="27" spans="1:24" ht="15.75" x14ac:dyDescent="0.25">
      <c r="A27" s="71" t="s">
        <v>43</v>
      </c>
      <c r="B27" s="72"/>
      <c r="C27" s="72"/>
      <c r="D27" s="72"/>
      <c r="E27" s="72"/>
      <c r="F27" s="21">
        <v>1700000</v>
      </c>
      <c r="G27" s="22">
        <f t="shared" si="2"/>
        <v>141666.66666666666</v>
      </c>
      <c r="H27" s="33"/>
      <c r="I27" s="73" t="e">
        <f>#REF!</f>
        <v>#REF!</v>
      </c>
      <c r="J27" s="73" t="e">
        <f>#REF!</f>
        <v>#REF!</v>
      </c>
      <c r="K27" s="73" t="e">
        <f>#REF!</f>
        <v>#REF!</v>
      </c>
      <c r="L27" s="73" t="e">
        <f>#REF!</f>
        <v>#REF!</v>
      </c>
      <c r="M27" s="73" t="e">
        <f>#REF!</f>
        <v>#REF!</v>
      </c>
      <c r="N27" s="73" t="e">
        <f>#REF!</f>
        <v>#REF!</v>
      </c>
      <c r="O27" s="27"/>
      <c r="P27" s="27"/>
      <c r="Q27" s="27"/>
      <c r="R27" s="27"/>
      <c r="S27" s="28"/>
      <c r="T27" s="28"/>
      <c r="U27" s="29" t="e">
        <f t="shared" si="0"/>
        <v>#REF!</v>
      </c>
      <c r="V27" s="30">
        <f t="shared" si="3"/>
        <v>850000</v>
      </c>
      <c r="W27" s="74" t="e">
        <f t="shared" si="4"/>
        <v>#REF!</v>
      </c>
    </row>
    <row r="28" spans="1:24" ht="15.75" x14ac:dyDescent="0.25">
      <c r="A28" s="71" t="s">
        <v>44</v>
      </c>
      <c r="B28" s="72"/>
      <c r="C28" s="72"/>
      <c r="D28" s="72"/>
      <c r="E28" s="72"/>
      <c r="F28" s="21">
        <v>600000</v>
      </c>
      <c r="G28" s="22">
        <f t="shared" si="2"/>
        <v>50000</v>
      </c>
      <c r="H28" s="33"/>
      <c r="I28" s="73">
        <f>'дор и терр'!B38</f>
        <v>13132</v>
      </c>
      <c r="J28" s="73">
        <f>'дор и терр'!C38</f>
        <v>38440</v>
      </c>
      <c r="K28" s="73">
        <f>'дор и терр'!D38</f>
        <v>0</v>
      </c>
      <c r="L28" s="73">
        <f>'дор и терр'!E38</f>
        <v>0</v>
      </c>
      <c r="M28" s="73">
        <f>'дор и терр'!F38</f>
        <v>0</v>
      </c>
      <c r="N28" s="73">
        <f>'дор и терр'!G38</f>
        <v>0</v>
      </c>
      <c r="O28" s="27"/>
      <c r="P28" s="27"/>
      <c r="Q28" s="27"/>
      <c r="R28" s="27"/>
      <c r="S28" s="28"/>
      <c r="T28" s="28"/>
      <c r="U28" s="29">
        <f t="shared" si="0"/>
        <v>51572</v>
      </c>
      <c r="V28" s="30">
        <f t="shared" si="3"/>
        <v>300000</v>
      </c>
      <c r="W28" s="74">
        <f t="shared" si="4"/>
        <v>248428</v>
      </c>
    </row>
    <row r="29" spans="1:24" ht="15.75" x14ac:dyDescent="0.25">
      <c r="A29" s="71" t="s">
        <v>45</v>
      </c>
      <c r="B29" s="72"/>
      <c r="C29" s="72"/>
      <c r="D29" s="72"/>
      <c r="E29" s="72"/>
      <c r="F29" s="21">
        <v>250000</v>
      </c>
      <c r="G29" s="22">
        <f t="shared" si="2"/>
        <v>20833.333333333332</v>
      </c>
      <c r="H29" s="33"/>
      <c r="I29" s="73">
        <f>благоустройство!B64</f>
        <v>76944</v>
      </c>
      <c r="J29" s="73">
        <f>благоустройство!C64</f>
        <v>44149.599999999999</v>
      </c>
      <c r="K29" s="73">
        <f>благоустройство!D64</f>
        <v>0</v>
      </c>
      <c r="L29" s="73">
        <f>благоустройство!E64</f>
        <v>0</v>
      </c>
      <c r="M29" s="73">
        <f>благоустройство!F64</f>
        <v>0</v>
      </c>
      <c r="N29" s="73">
        <f>благоустройство!G64</f>
        <v>0</v>
      </c>
      <c r="O29" s="27"/>
      <c r="P29" s="27"/>
      <c r="Q29" s="27"/>
      <c r="R29" s="27"/>
      <c r="S29" s="28"/>
      <c r="T29" s="28"/>
      <c r="U29" s="29">
        <f t="shared" si="0"/>
        <v>121093.6</v>
      </c>
      <c r="V29" s="30">
        <f t="shared" si="3"/>
        <v>125000</v>
      </c>
      <c r="W29" s="74">
        <f t="shared" si="4"/>
        <v>3906.3999999999942</v>
      </c>
    </row>
    <row r="30" spans="1:24" ht="15.75" x14ac:dyDescent="0.25">
      <c r="A30" s="71" t="s">
        <v>46</v>
      </c>
      <c r="B30" s="72"/>
      <c r="C30" s="72"/>
      <c r="D30" s="72"/>
      <c r="E30" s="72"/>
      <c r="F30" s="21">
        <v>719200</v>
      </c>
      <c r="G30" s="22">
        <f t="shared" si="2"/>
        <v>59933.333333333336</v>
      </c>
      <c r="H30" s="33"/>
      <c r="I30" s="73" t="e">
        <f>#REF!</f>
        <v>#REF!</v>
      </c>
      <c r="J30" s="73" t="e">
        <f>#REF!</f>
        <v>#REF!</v>
      </c>
      <c r="K30" s="73" t="e">
        <f>#REF!</f>
        <v>#REF!</v>
      </c>
      <c r="L30" s="73" t="e">
        <f>#REF!</f>
        <v>#REF!</v>
      </c>
      <c r="M30" s="73" t="e">
        <f>#REF!</f>
        <v>#REF!</v>
      </c>
      <c r="N30" s="73" t="e">
        <f>#REF!</f>
        <v>#REF!</v>
      </c>
      <c r="O30" s="27"/>
      <c r="P30" s="27"/>
      <c r="Q30" s="27"/>
      <c r="R30" s="27"/>
      <c r="S30" s="28"/>
      <c r="T30" s="28"/>
      <c r="U30" s="29" t="e">
        <f t="shared" si="0"/>
        <v>#REF!</v>
      </c>
      <c r="V30" s="30">
        <f t="shared" si="3"/>
        <v>359600</v>
      </c>
      <c r="W30" s="74" t="e">
        <f t="shared" si="4"/>
        <v>#REF!</v>
      </c>
    </row>
    <row r="31" spans="1:24" ht="15.75" x14ac:dyDescent="0.25">
      <c r="A31" s="79" t="s">
        <v>47</v>
      </c>
      <c r="B31" s="80"/>
      <c r="C31" s="80"/>
      <c r="D31" s="80"/>
      <c r="E31" s="80"/>
      <c r="F31" s="81">
        <v>1473800</v>
      </c>
      <c r="G31" s="82">
        <f t="shared" si="2"/>
        <v>122816.66666666667</v>
      </c>
      <c r="H31" s="42"/>
      <c r="I31" s="83">
        <f>'резервный фонд'!B66</f>
        <v>0</v>
      </c>
      <c r="J31" s="83">
        <f>'резервный фонд'!C66</f>
        <v>331597.45999999996</v>
      </c>
      <c r="K31" s="83">
        <f>'резервный фонд'!D66</f>
        <v>0</v>
      </c>
      <c r="L31" s="83">
        <f>'резервный фонд'!E66</f>
        <v>0</v>
      </c>
      <c r="M31" s="83">
        <f>'резервный фонд'!F66</f>
        <v>0</v>
      </c>
      <c r="N31" s="83">
        <f>'резервный фонд'!G66</f>
        <v>0</v>
      </c>
      <c r="O31" s="51"/>
      <c r="P31" s="51"/>
      <c r="Q31" s="51"/>
      <c r="R31" s="51"/>
      <c r="S31" s="84"/>
      <c r="T31" s="84"/>
      <c r="U31" s="53">
        <f t="shared" si="0"/>
        <v>331597.45999999996</v>
      </c>
      <c r="V31" s="30">
        <f t="shared" si="3"/>
        <v>736900</v>
      </c>
      <c r="W31" s="85">
        <f t="shared" si="4"/>
        <v>405302.54000000004</v>
      </c>
      <c r="X31" s="86"/>
    </row>
    <row r="32" spans="1:24" ht="15.75" x14ac:dyDescent="0.25">
      <c r="A32" s="321" t="s">
        <v>48</v>
      </c>
      <c r="B32" s="322"/>
      <c r="C32" s="322"/>
      <c r="D32" s="322"/>
      <c r="E32" s="323"/>
      <c r="F32" s="56">
        <f>SUM(F12:F31)</f>
        <v>30950000</v>
      </c>
      <c r="G32" s="57">
        <f>SUM(G12:G31)</f>
        <v>2579166.6666666665</v>
      </c>
      <c r="H32" s="75"/>
      <c r="I32" s="87" t="e">
        <f>SUM(I12:I31)</f>
        <v>#REF!</v>
      </c>
      <c r="J32" s="87" t="e">
        <f>SUM(J12:J31)</f>
        <v>#REF!</v>
      </c>
      <c r="K32" s="87" t="e">
        <f t="shared" ref="K32:U32" si="5">SUM(K12:K31)</f>
        <v>#REF!</v>
      </c>
      <c r="L32" s="88" t="e">
        <f t="shared" si="5"/>
        <v>#REF!</v>
      </c>
      <c r="M32" s="89" t="e">
        <f t="shared" si="5"/>
        <v>#REF!</v>
      </c>
      <c r="N32" s="89" t="e">
        <f t="shared" si="5"/>
        <v>#REF!</v>
      </c>
      <c r="O32" s="60">
        <f t="shared" si="5"/>
        <v>0</v>
      </c>
      <c r="P32" s="60">
        <f t="shared" si="5"/>
        <v>0</v>
      </c>
      <c r="Q32" s="60">
        <f t="shared" si="5"/>
        <v>0</v>
      </c>
      <c r="R32" s="60">
        <f t="shared" si="5"/>
        <v>0</v>
      </c>
      <c r="S32" s="61">
        <f t="shared" si="5"/>
        <v>0</v>
      </c>
      <c r="T32" s="61">
        <f t="shared" si="5"/>
        <v>0</v>
      </c>
      <c r="U32" s="62" t="e">
        <f t="shared" si="5"/>
        <v>#REF!</v>
      </c>
      <c r="V32" s="30">
        <f>G32*5</f>
        <v>12895833.333333332</v>
      </c>
      <c r="W32" s="90" t="e">
        <f>SUM(W12:W31)</f>
        <v>#REF!</v>
      </c>
    </row>
    <row r="34" spans="1:23" x14ac:dyDescent="0.25">
      <c r="A34" s="324" t="s">
        <v>49</v>
      </c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91"/>
      <c r="W34" s="91"/>
    </row>
    <row r="35" spans="1:23" x14ac:dyDescent="0.25">
      <c r="A35" s="325" t="s">
        <v>50</v>
      </c>
      <c r="B35" s="326"/>
      <c r="C35" s="326"/>
      <c r="D35" s="326"/>
      <c r="E35" s="326"/>
      <c r="F35" s="327"/>
      <c r="G35" s="327"/>
      <c r="H35" s="326"/>
      <c r="I35" s="327"/>
      <c r="J35" s="327"/>
      <c r="K35" s="327"/>
      <c r="L35" s="326"/>
      <c r="M35" s="92"/>
      <c r="N35" s="92"/>
      <c r="O35" s="92"/>
      <c r="P35" s="92"/>
      <c r="Q35" s="92"/>
      <c r="R35" s="92"/>
      <c r="S35" s="92"/>
      <c r="T35" s="92"/>
      <c r="U35" s="93"/>
      <c r="V35" s="91"/>
      <c r="W35" s="91"/>
    </row>
    <row r="36" spans="1:23" x14ac:dyDescent="0.25">
      <c r="A36" s="308" t="s">
        <v>51</v>
      </c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10"/>
      <c r="V36" s="91"/>
      <c r="W36" s="91"/>
    </row>
    <row r="37" spans="1:23" x14ac:dyDescent="0.25">
      <c r="A37" s="94"/>
      <c r="B37" s="94"/>
      <c r="C37" s="94"/>
      <c r="D37" s="94"/>
      <c r="E37" s="94"/>
      <c r="F37" s="91"/>
      <c r="G37" s="91"/>
      <c r="H37" s="94"/>
      <c r="I37" s="91"/>
      <c r="J37" s="91"/>
      <c r="K37" s="91"/>
      <c r="L37" s="94"/>
      <c r="M37" s="94"/>
      <c r="N37" s="94"/>
      <c r="O37" s="94"/>
      <c r="P37" s="94"/>
      <c r="Q37" s="94"/>
      <c r="R37" s="94"/>
      <c r="S37" s="94"/>
      <c r="T37" s="94"/>
      <c r="U37" s="91"/>
      <c r="V37" s="91"/>
      <c r="W37" s="91"/>
    </row>
    <row r="38" spans="1:23" x14ac:dyDescent="0.25">
      <c r="A38" s="311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3"/>
      <c r="V38" s="91"/>
      <c r="W38" s="91"/>
    </row>
    <row r="39" spans="1:23" x14ac:dyDescent="0.25">
      <c r="A39" s="314"/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6"/>
      <c r="V39" s="91"/>
      <c r="W39" s="91"/>
    </row>
    <row r="40" spans="1:23" x14ac:dyDescent="0.25">
      <c r="A40" s="94"/>
      <c r="B40" s="94"/>
      <c r="C40" s="94"/>
      <c r="D40" s="94"/>
      <c r="E40" s="94"/>
      <c r="F40" s="91"/>
      <c r="G40" s="91"/>
      <c r="H40" s="94"/>
      <c r="I40" s="91"/>
      <c r="J40" s="91"/>
      <c r="K40" s="91"/>
      <c r="L40" s="94"/>
      <c r="M40" s="94"/>
      <c r="N40" s="94"/>
      <c r="O40" s="94"/>
      <c r="P40" s="94"/>
      <c r="Q40" s="94"/>
      <c r="R40" s="94"/>
      <c r="S40" s="94"/>
      <c r="T40" s="94"/>
      <c r="U40" s="91"/>
      <c r="V40" s="91"/>
      <c r="W40" s="91"/>
    </row>
    <row r="41" spans="1:23" x14ac:dyDescent="0.25">
      <c r="A41" s="94"/>
      <c r="B41" s="94"/>
      <c r="C41" s="94"/>
      <c r="D41" s="94"/>
      <c r="E41" s="94"/>
      <c r="F41" s="91"/>
      <c r="G41" s="91"/>
      <c r="H41" s="94"/>
      <c r="I41" s="91"/>
      <c r="J41" s="91"/>
      <c r="K41" s="91"/>
      <c r="L41" s="94"/>
      <c r="M41" s="94"/>
      <c r="N41" s="94"/>
      <c r="O41" s="94"/>
      <c r="P41" s="94"/>
      <c r="Q41" s="94"/>
      <c r="R41" s="94"/>
      <c r="S41" s="94"/>
      <c r="T41" s="94"/>
      <c r="U41" s="91"/>
      <c r="V41" s="91"/>
      <c r="W41" s="91"/>
    </row>
    <row r="42" spans="1:23" x14ac:dyDescent="0.25">
      <c r="A42" s="94"/>
      <c r="B42" s="94"/>
      <c r="C42" s="94"/>
      <c r="D42" s="94"/>
      <c r="E42" s="94"/>
      <c r="F42" s="91"/>
      <c r="G42" s="91"/>
      <c r="H42" s="94"/>
      <c r="I42" s="91"/>
      <c r="J42" s="91"/>
      <c r="K42" s="91"/>
      <c r="L42" s="94"/>
      <c r="M42" s="94"/>
      <c r="N42" s="94"/>
      <c r="O42" s="94"/>
      <c r="P42" s="94"/>
      <c r="Q42" s="94"/>
      <c r="R42" s="94"/>
      <c r="S42" s="94"/>
      <c r="T42" s="94"/>
      <c r="U42" s="91"/>
      <c r="V42" s="91"/>
      <c r="W42" s="91"/>
    </row>
    <row r="43" spans="1:23" x14ac:dyDescent="0.25">
      <c r="A43" s="94"/>
      <c r="B43" s="94"/>
      <c r="C43" s="94"/>
      <c r="D43" s="94"/>
      <c r="E43" s="94"/>
      <c r="F43" s="91"/>
      <c r="G43" s="91"/>
      <c r="H43" s="94"/>
      <c r="I43" s="91"/>
      <c r="J43" s="91"/>
      <c r="K43" s="91"/>
      <c r="L43" s="94"/>
      <c r="M43" s="94"/>
      <c r="N43" s="94"/>
      <c r="O43" s="94"/>
      <c r="P43" s="94"/>
      <c r="Q43" s="94"/>
      <c r="R43" s="94"/>
      <c r="S43" s="94"/>
      <c r="T43" s="94"/>
      <c r="U43" s="91"/>
      <c r="V43" s="91"/>
      <c r="W43" s="91"/>
    </row>
    <row r="44" spans="1:23" x14ac:dyDescent="0.25">
      <c r="A44" s="94"/>
      <c r="B44" s="94"/>
      <c r="C44" s="94"/>
      <c r="D44" s="94"/>
      <c r="E44" s="94"/>
      <c r="F44" s="91"/>
      <c r="G44" s="91"/>
      <c r="H44" s="94"/>
      <c r="I44" s="91"/>
      <c r="J44" s="91"/>
      <c r="K44" s="91"/>
      <c r="L44" s="94"/>
      <c r="M44" s="94"/>
      <c r="N44" s="94"/>
      <c r="O44" s="94"/>
      <c r="P44" s="94"/>
      <c r="Q44" s="94"/>
      <c r="R44" s="94"/>
      <c r="S44" s="94"/>
      <c r="T44" s="94"/>
      <c r="U44" s="91"/>
      <c r="V44" s="91"/>
      <c r="W44" s="91"/>
    </row>
    <row r="45" spans="1:23" x14ac:dyDescent="0.25">
      <c r="A45" s="94"/>
      <c r="B45" s="94"/>
      <c r="C45" s="94"/>
      <c r="D45" s="94"/>
      <c r="E45" s="94"/>
      <c r="F45" s="91"/>
      <c r="G45" s="91"/>
      <c r="H45" s="94"/>
      <c r="I45" s="91"/>
      <c r="J45" s="91"/>
      <c r="K45" s="91"/>
      <c r="L45" s="94"/>
      <c r="M45" s="94"/>
      <c r="N45" s="94"/>
      <c r="O45" s="94"/>
      <c r="P45" s="94"/>
      <c r="Q45" s="94"/>
      <c r="R45" s="94"/>
      <c r="S45" s="94"/>
      <c r="T45" s="94"/>
      <c r="U45" s="91"/>
      <c r="V45" s="91"/>
      <c r="W45" s="91"/>
    </row>
    <row r="46" spans="1:23" x14ac:dyDescent="0.25">
      <c r="A46" s="94"/>
      <c r="B46" s="94"/>
      <c r="C46" s="94"/>
      <c r="D46" s="94"/>
      <c r="E46" s="94"/>
      <c r="F46" s="91"/>
      <c r="G46" s="91"/>
      <c r="H46" s="94"/>
      <c r="I46" s="91"/>
      <c r="J46" s="91"/>
      <c r="K46" s="91"/>
      <c r="L46" s="94"/>
      <c r="M46" s="94"/>
      <c r="N46" s="94"/>
      <c r="O46" s="94"/>
      <c r="P46" s="94"/>
      <c r="Q46" s="94"/>
      <c r="R46" s="94"/>
      <c r="S46" s="94"/>
      <c r="T46" s="94"/>
      <c r="U46" s="91"/>
      <c r="V46" s="91"/>
      <c r="W46" s="91"/>
    </row>
    <row r="47" spans="1:23" x14ac:dyDescent="0.25">
      <c r="A47" s="94"/>
      <c r="B47" s="94"/>
      <c r="C47" s="94"/>
      <c r="D47" s="94"/>
      <c r="E47" s="94"/>
      <c r="F47" s="91"/>
      <c r="G47" s="91"/>
      <c r="H47" s="94"/>
      <c r="I47" s="91"/>
      <c r="J47" s="91"/>
      <c r="K47" s="91"/>
      <c r="L47" s="94"/>
      <c r="M47" s="94"/>
      <c r="N47" s="94"/>
      <c r="O47" s="94"/>
      <c r="P47" s="94"/>
      <c r="Q47" s="94"/>
      <c r="R47" s="94"/>
      <c r="S47" s="94"/>
      <c r="T47" s="94"/>
      <c r="U47" s="91"/>
      <c r="V47" s="91"/>
      <c r="W47" s="91"/>
    </row>
    <row r="48" spans="1:23" x14ac:dyDescent="0.25">
      <c r="A48" s="94"/>
      <c r="B48" s="94"/>
      <c r="C48" s="94"/>
      <c r="D48" s="94"/>
      <c r="E48" s="94"/>
      <c r="F48" s="91"/>
      <c r="G48" s="91"/>
      <c r="H48" s="94"/>
      <c r="I48" s="91"/>
      <c r="J48" s="91"/>
      <c r="K48" s="91"/>
      <c r="L48" s="94"/>
      <c r="M48" s="94"/>
      <c r="N48" s="94"/>
      <c r="O48" s="94"/>
      <c r="P48" s="94"/>
      <c r="Q48" s="94"/>
      <c r="R48" s="94"/>
      <c r="S48" s="94"/>
      <c r="T48" s="94"/>
      <c r="U48" s="91"/>
      <c r="V48" s="91"/>
      <c r="W48" s="91"/>
    </row>
    <row r="49" spans="1:23" x14ac:dyDescent="0.25">
      <c r="A49" s="94"/>
      <c r="B49" s="94"/>
      <c r="C49" s="94"/>
      <c r="D49" s="94"/>
      <c r="E49" s="94"/>
      <c r="F49" s="91"/>
      <c r="G49" s="91"/>
      <c r="H49" s="94"/>
      <c r="I49" s="91"/>
      <c r="J49" s="91"/>
      <c r="K49" s="91"/>
      <c r="L49" s="94"/>
      <c r="M49" s="94"/>
      <c r="N49" s="94"/>
      <c r="O49" s="94"/>
      <c r="P49" s="94"/>
      <c r="Q49" s="94"/>
      <c r="R49" s="94"/>
      <c r="S49" s="94"/>
      <c r="T49" s="94"/>
      <c r="U49" s="91"/>
      <c r="V49" s="91"/>
      <c r="W49" s="91"/>
    </row>
    <row r="50" spans="1:23" x14ac:dyDescent="0.25">
      <c r="A50" s="94"/>
      <c r="B50" s="94"/>
      <c r="C50" s="94"/>
      <c r="D50" s="94"/>
      <c r="E50" s="94"/>
      <c r="F50" s="91"/>
      <c r="G50" s="91"/>
      <c r="H50" s="94"/>
      <c r="I50" s="91"/>
      <c r="J50" s="91"/>
      <c r="K50" s="91"/>
      <c r="L50" s="94"/>
      <c r="M50" s="94"/>
      <c r="N50" s="94"/>
      <c r="O50" s="94"/>
      <c r="P50" s="94"/>
      <c r="Q50" s="94"/>
      <c r="R50" s="94"/>
      <c r="S50" s="94"/>
      <c r="T50" s="94"/>
      <c r="U50" s="91"/>
      <c r="V50" s="91"/>
      <c r="W50" s="91"/>
    </row>
    <row r="51" spans="1:23" x14ac:dyDescent="0.25">
      <c r="A51" s="94"/>
      <c r="B51" s="94"/>
      <c r="C51" s="94"/>
      <c r="D51" s="94"/>
      <c r="E51" s="94"/>
      <c r="F51" s="91"/>
      <c r="G51" s="91"/>
      <c r="H51" s="94"/>
      <c r="I51" s="91"/>
      <c r="J51" s="91"/>
      <c r="K51" s="91"/>
      <c r="L51" s="94"/>
      <c r="M51" s="94"/>
      <c r="N51" s="94"/>
      <c r="O51" s="94"/>
      <c r="P51" s="94"/>
      <c r="Q51" s="94"/>
      <c r="R51" s="94"/>
      <c r="S51" s="94"/>
      <c r="T51" s="94"/>
      <c r="U51" s="91"/>
      <c r="V51" s="91"/>
      <c r="W51" s="91"/>
    </row>
    <row r="52" spans="1:23" x14ac:dyDescent="0.25">
      <c r="A52" s="94"/>
      <c r="B52" s="94"/>
      <c r="C52" s="94"/>
      <c r="D52" s="94"/>
      <c r="E52" s="94"/>
      <c r="F52" s="91"/>
      <c r="G52" s="91"/>
      <c r="H52" s="94"/>
      <c r="I52" s="91"/>
      <c r="J52" s="91"/>
      <c r="K52" s="91"/>
      <c r="L52" s="94"/>
      <c r="M52" s="94"/>
      <c r="N52" s="94"/>
      <c r="O52" s="94"/>
      <c r="P52" s="94"/>
      <c r="Q52" s="94"/>
      <c r="R52" s="94"/>
      <c r="S52" s="94"/>
      <c r="T52" s="94"/>
      <c r="U52" s="91"/>
      <c r="V52" s="91"/>
      <c r="W52" s="91"/>
    </row>
    <row r="53" spans="1:23" x14ac:dyDescent="0.25">
      <c r="A53" s="94"/>
      <c r="B53" s="94"/>
      <c r="C53" s="94"/>
      <c r="D53" s="94"/>
      <c r="E53" s="94"/>
      <c r="F53" s="91"/>
      <c r="G53" s="91"/>
      <c r="H53" s="94"/>
      <c r="I53" s="91"/>
      <c r="J53" s="91"/>
      <c r="K53" s="91"/>
      <c r="L53" s="94"/>
      <c r="M53" s="94"/>
      <c r="N53" s="94"/>
      <c r="O53" s="94"/>
      <c r="P53" s="94"/>
      <c r="Q53" s="94"/>
      <c r="R53" s="94"/>
      <c r="S53" s="94"/>
      <c r="T53" s="94"/>
      <c r="U53" s="91"/>
      <c r="V53" s="91"/>
      <c r="W53" s="91"/>
    </row>
    <row r="54" spans="1:23" x14ac:dyDescent="0.25">
      <c r="A54" s="94"/>
      <c r="B54" s="94"/>
      <c r="C54" s="94"/>
      <c r="D54" s="94"/>
      <c r="E54" s="94"/>
      <c r="F54" s="91"/>
      <c r="G54" s="91"/>
      <c r="H54" s="94"/>
      <c r="I54" s="91"/>
      <c r="J54" s="91"/>
      <c r="K54" s="91"/>
      <c r="L54" s="94"/>
      <c r="M54" s="94"/>
      <c r="N54" s="94"/>
      <c r="O54" s="94"/>
      <c r="P54" s="94"/>
      <c r="Q54" s="94"/>
      <c r="R54" s="94"/>
      <c r="S54" s="94"/>
      <c r="T54" s="94"/>
      <c r="U54" s="91"/>
      <c r="V54" s="91"/>
      <c r="W54" s="91"/>
    </row>
    <row r="55" spans="1:23" x14ac:dyDescent="0.25">
      <c r="I55" s="91"/>
    </row>
  </sheetData>
  <mergeCells count="18"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  <mergeCell ref="A36:U36"/>
    <mergeCell ref="A38:U38"/>
    <mergeCell ref="A39:U39"/>
    <mergeCell ref="L3:L4"/>
    <mergeCell ref="U3:U4"/>
    <mergeCell ref="A32:E32"/>
    <mergeCell ref="A34:U34"/>
    <mergeCell ref="A35:L35"/>
  </mergeCells>
  <phoneticPr fontId="21" type="noConversion"/>
  <pageMargins left="0.70866141732283472" right="0.70866141732283472" top="0" bottom="0" header="0" footer="0"/>
  <pageSetup paperSize="9" scale="91" firstPageNumber="4294967295" orientation="landscape" verticalDpi="18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  <pageSetUpPr fitToPage="1"/>
  </sheetPr>
  <dimension ref="A1:N29"/>
  <sheetViews>
    <sheetView workbookViewId="0">
      <selection activeCell="A7" sqref="A7"/>
    </sheetView>
  </sheetViews>
  <sheetFormatPr defaultRowHeight="15" x14ac:dyDescent="0.25"/>
  <cols>
    <col min="1" max="1" width="45.42578125" bestFit="1" customWidth="1"/>
    <col min="2" max="2" width="11" style="1" customWidth="1"/>
    <col min="3" max="3" width="11.42578125" style="1" customWidth="1"/>
    <col min="4" max="4" width="10.28515625" style="1" customWidth="1"/>
    <col min="5" max="8" width="9.140625" style="1"/>
    <col min="9" max="9" width="8" style="1" customWidth="1"/>
    <col min="10" max="14" width="9.140625" style="1"/>
  </cols>
  <sheetData>
    <row r="1" spans="1:14" x14ac:dyDescent="0.25">
      <c r="A1" s="243" t="s">
        <v>120</v>
      </c>
      <c r="B1" s="215"/>
      <c r="C1" s="215"/>
      <c r="D1" s="215"/>
      <c r="E1" s="215"/>
      <c r="F1" s="216"/>
      <c r="G1" s="216" t="str">
        <f>'ВСЕ затраты'!B1</f>
        <v>2023-2024гг.</v>
      </c>
      <c r="H1" s="216"/>
      <c r="I1" s="216"/>
      <c r="J1" s="216"/>
      <c r="K1" s="215"/>
      <c r="L1" s="215"/>
      <c r="M1" s="215"/>
      <c r="N1" s="220"/>
    </row>
    <row r="2" spans="1:14" x14ac:dyDescent="0.25">
      <c r="A2" s="244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121</v>
      </c>
    </row>
    <row r="3" spans="1:14" x14ac:dyDescent="0.25">
      <c r="A3" s="239" t="s">
        <v>161</v>
      </c>
      <c r="B3" s="228">
        <v>3450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>
        <f t="shared" ref="N3:N9" si="0">SUM(B3:M3)</f>
        <v>3450</v>
      </c>
    </row>
    <row r="4" spans="1:14" x14ac:dyDescent="0.25">
      <c r="A4" s="239" t="s">
        <v>170</v>
      </c>
      <c r="B4" s="228">
        <v>5200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>
        <f t="shared" si="0"/>
        <v>5200</v>
      </c>
    </row>
    <row r="5" spans="1:14" x14ac:dyDescent="0.25">
      <c r="A5" s="256" t="s">
        <v>197</v>
      </c>
      <c r="B5" s="228"/>
      <c r="C5" s="228">
        <v>13990</v>
      </c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>
        <f t="shared" si="0"/>
        <v>13990</v>
      </c>
    </row>
    <row r="6" spans="1:14" x14ac:dyDescent="0.25">
      <c r="A6" s="239" t="s">
        <v>198</v>
      </c>
      <c r="B6" s="228"/>
      <c r="C6" s="228">
        <v>685</v>
      </c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>
        <f t="shared" si="0"/>
        <v>685</v>
      </c>
    </row>
    <row r="7" spans="1:14" x14ac:dyDescent="0.25">
      <c r="A7" s="256" t="s">
        <v>199</v>
      </c>
      <c r="B7" s="239"/>
      <c r="C7" s="228">
        <v>260</v>
      </c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>
        <f t="shared" si="0"/>
        <v>260</v>
      </c>
    </row>
    <row r="8" spans="1:14" x14ac:dyDescent="0.25">
      <c r="A8" s="256"/>
      <c r="B8" s="239"/>
      <c r="C8" s="228"/>
      <c r="D8" s="228"/>
      <c r="E8" s="225"/>
      <c r="F8" s="225"/>
      <c r="G8" s="225"/>
      <c r="H8" s="224"/>
      <c r="I8" s="225"/>
      <c r="J8" s="224"/>
      <c r="K8" s="224"/>
      <c r="L8" s="224"/>
      <c r="M8" s="224"/>
      <c r="N8" s="228">
        <f t="shared" si="0"/>
        <v>0</v>
      </c>
    </row>
    <row r="9" spans="1:14" x14ac:dyDescent="0.25">
      <c r="A9" s="263"/>
      <c r="B9" s="228"/>
      <c r="C9" s="224"/>
      <c r="D9" s="224"/>
      <c r="E9" s="225"/>
      <c r="F9" s="225"/>
      <c r="G9" s="225"/>
      <c r="H9" s="224"/>
      <c r="I9" s="225"/>
      <c r="J9" s="224"/>
      <c r="K9" s="224"/>
      <c r="L9" s="224"/>
      <c r="M9" s="224"/>
      <c r="N9" s="228">
        <f t="shared" si="0"/>
        <v>0</v>
      </c>
    </row>
    <row r="10" spans="1:14" x14ac:dyDescent="0.25">
      <c r="A10" s="263"/>
      <c r="B10" s="224"/>
      <c r="C10" s="224"/>
      <c r="D10" s="224"/>
      <c r="E10" s="225"/>
      <c r="F10" s="225"/>
      <c r="G10" s="225"/>
      <c r="H10" s="224"/>
      <c r="I10" s="225"/>
      <c r="J10" s="224"/>
      <c r="K10" s="224"/>
      <c r="L10" s="224"/>
      <c r="M10" s="224"/>
      <c r="N10" s="224">
        <f t="shared" ref="N10:N26" si="1">SUM(B10:M10)</f>
        <v>0</v>
      </c>
    </row>
    <row r="11" spans="1:14" x14ac:dyDescent="0.25">
      <c r="A11" s="239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4">
        <f t="shared" si="1"/>
        <v>0</v>
      </c>
    </row>
    <row r="12" spans="1:14" x14ac:dyDescent="0.25">
      <c r="A12" s="239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4"/>
      <c r="N12" s="224">
        <f t="shared" si="1"/>
        <v>0</v>
      </c>
    </row>
    <row r="13" spans="1:14" x14ac:dyDescent="0.25">
      <c r="A13" s="239"/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4"/>
      <c r="N13" s="224">
        <f t="shared" si="1"/>
        <v>0</v>
      </c>
    </row>
    <row r="14" spans="1:14" x14ac:dyDescent="0.25">
      <c r="A14" s="239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4"/>
      <c r="N14" s="228">
        <f t="shared" si="1"/>
        <v>0</v>
      </c>
    </row>
    <row r="15" spans="1:14" x14ac:dyDescent="0.25">
      <c r="A15" s="239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4"/>
      <c r="N15" s="228">
        <f t="shared" si="1"/>
        <v>0</v>
      </c>
    </row>
    <row r="16" spans="1:14" x14ac:dyDescent="0.25">
      <c r="A16" s="239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4"/>
      <c r="N16" s="228">
        <f t="shared" si="1"/>
        <v>0</v>
      </c>
    </row>
    <row r="17" spans="1:14" x14ac:dyDescent="0.25">
      <c r="A17" s="239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4"/>
      <c r="N17" s="228">
        <f t="shared" si="1"/>
        <v>0</v>
      </c>
    </row>
    <row r="18" spans="1:14" x14ac:dyDescent="0.25">
      <c r="A18" s="239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4"/>
      <c r="N18" s="228">
        <f t="shared" si="1"/>
        <v>0</v>
      </c>
    </row>
    <row r="19" spans="1:14" x14ac:dyDescent="0.25">
      <c r="A19" s="239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4"/>
      <c r="N19" s="228">
        <f t="shared" si="1"/>
        <v>0</v>
      </c>
    </row>
    <row r="20" spans="1:14" x14ac:dyDescent="0.25">
      <c r="A20" s="239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4"/>
      <c r="N20" s="228">
        <f t="shared" si="1"/>
        <v>0</v>
      </c>
    </row>
    <row r="21" spans="1:14" x14ac:dyDescent="0.25">
      <c r="A21" s="239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4"/>
      <c r="N21" s="228">
        <f t="shared" si="1"/>
        <v>0</v>
      </c>
    </row>
    <row r="22" spans="1:14" x14ac:dyDescent="0.25">
      <c r="A22" s="239"/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4"/>
      <c r="N22" s="228">
        <f t="shared" si="1"/>
        <v>0</v>
      </c>
    </row>
    <row r="23" spans="1:14" x14ac:dyDescent="0.25">
      <c r="A23" s="239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4"/>
      <c r="N23" s="228">
        <f t="shared" si="1"/>
        <v>0</v>
      </c>
    </row>
    <row r="24" spans="1:14" x14ac:dyDescent="0.25">
      <c r="A24" s="239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4"/>
      <c r="N24" s="228">
        <f t="shared" si="1"/>
        <v>0</v>
      </c>
    </row>
    <row r="25" spans="1:14" x14ac:dyDescent="0.25">
      <c r="A25" s="239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4"/>
      <c r="N25" s="228">
        <f t="shared" si="1"/>
        <v>0</v>
      </c>
    </row>
    <row r="26" spans="1:14" x14ac:dyDescent="0.25">
      <c r="A26" s="239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4"/>
      <c r="N26" s="228">
        <f t="shared" si="1"/>
        <v>0</v>
      </c>
    </row>
    <row r="27" spans="1:14" x14ac:dyDescent="0.25">
      <c r="A27" s="243" t="s">
        <v>98</v>
      </c>
      <c r="B27" s="264">
        <f t="shared" ref="B27:M27" si="2">SUM(B3:B26)</f>
        <v>8650</v>
      </c>
      <c r="C27" s="264">
        <f t="shared" si="2"/>
        <v>14935</v>
      </c>
      <c r="D27" s="264">
        <f t="shared" si="2"/>
        <v>0</v>
      </c>
      <c r="E27" s="264">
        <f t="shared" si="2"/>
        <v>0</v>
      </c>
      <c r="F27" s="264">
        <f t="shared" si="2"/>
        <v>0</v>
      </c>
      <c r="G27" s="264">
        <f t="shared" si="2"/>
        <v>0</v>
      </c>
      <c r="H27" s="264">
        <f t="shared" si="2"/>
        <v>0</v>
      </c>
      <c r="I27" s="264">
        <f t="shared" si="2"/>
        <v>0</v>
      </c>
      <c r="J27" s="264">
        <f t="shared" si="2"/>
        <v>0</v>
      </c>
      <c r="K27" s="264">
        <f t="shared" si="2"/>
        <v>0</v>
      </c>
      <c r="L27" s="264">
        <f t="shared" si="2"/>
        <v>0</v>
      </c>
      <c r="M27" s="264">
        <f t="shared" si="2"/>
        <v>0</v>
      </c>
      <c r="N27" s="264">
        <f>SUM(N3:N26)</f>
        <v>23585</v>
      </c>
    </row>
    <row r="29" spans="1:14" x14ac:dyDescent="0.25">
      <c r="N29" s="249">
        <f>SUM(B27:M27)-N27</f>
        <v>0</v>
      </c>
    </row>
  </sheetData>
  <phoneticPr fontId="21" type="noConversion"/>
  <pageMargins left="0.7" right="0.7" top="0.75" bottom="0.75" header="0.3" footer="0.3"/>
  <pageSetup paperSize="9" scale="77" firstPageNumber="42949672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0.749992370372631"/>
    <pageSetUpPr fitToPage="1"/>
  </sheetPr>
  <dimension ref="A1:N12"/>
  <sheetViews>
    <sheetView workbookViewId="0">
      <selection activeCell="C4" sqref="C4"/>
    </sheetView>
  </sheetViews>
  <sheetFormatPr defaultRowHeight="15" x14ac:dyDescent="0.25"/>
  <cols>
    <col min="1" max="1" width="38" bestFit="1" customWidth="1"/>
    <col min="2" max="2" width="10.85546875" customWidth="1"/>
    <col min="3" max="4" width="10.28515625" bestFit="1" customWidth="1"/>
    <col min="5" max="5" width="12.85546875" bestFit="1" customWidth="1"/>
    <col min="6" max="6" width="12.7109375" customWidth="1"/>
    <col min="7" max="9" width="12.85546875" bestFit="1" customWidth="1"/>
    <col min="10" max="12" width="10.28515625" bestFit="1" customWidth="1"/>
    <col min="13" max="13" width="12.85546875" bestFit="1" customWidth="1"/>
    <col min="14" max="14" width="14.5703125" bestFit="1" customWidth="1"/>
  </cols>
  <sheetData>
    <row r="1" spans="1:14" x14ac:dyDescent="0.25">
      <c r="A1" s="243" t="s">
        <v>36</v>
      </c>
      <c r="B1" s="250"/>
      <c r="C1" s="250"/>
      <c r="D1" s="250"/>
      <c r="E1" s="250"/>
      <c r="F1" s="216"/>
      <c r="G1" s="216" t="str">
        <f>'ВСЕ затраты'!B1</f>
        <v>2023-2024гг.</v>
      </c>
      <c r="H1" s="250"/>
      <c r="I1" s="250"/>
      <c r="J1" s="250"/>
      <c r="K1" s="250"/>
      <c r="L1" s="250"/>
      <c r="M1" s="250"/>
      <c r="N1" s="244"/>
    </row>
    <row r="2" spans="1:14" x14ac:dyDescent="0.25">
      <c r="A2" s="244"/>
      <c r="B2" s="265" t="s">
        <v>4</v>
      </c>
      <c r="C2" s="265" t="s">
        <v>5</v>
      </c>
      <c r="D2" s="265" t="s">
        <v>6</v>
      </c>
      <c r="E2" s="265" t="s">
        <v>7</v>
      </c>
      <c r="F2" s="265" t="s">
        <v>8</v>
      </c>
      <c r="G2" s="265" t="s">
        <v>9</v>
      </c>
      <c r="H2" s="265" t="s">
        <v>14</v>
      </c>
      <c r="I2" s="265" t="s">
        <v>15</v>
      </c>
      <c r="J2" s="265" t="s">
        <v>16</v>
      </c>
      <c r="K2" s="265" t="s">
        <v>17</v>
      </c>
      <c r="L2" s="265" t="s">
        <v>18</v>
      </c>
      <c r="M2" s="265" t="s">
        <v>19</v>
      </c>
      <c r="N2" s="265"/>
    </row>
    <row r="3" spans="1:14" x14ac:dyDescent="0.25">
      <c r="A3" s="239" t="s">
        <v>122</v>
      </c>
      <c r="B3" s="276">
        <v>365000</v>
      </c>
      <c r="C3" s="276">
        <v>412000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>
        <f t="shared" ref="N3:N9" si="0">SUM(B3:M3)</f>
        <v>777000</v>
      </c>
    </row>
    <row r="4" spans="1:14" x14ac:dyDescent="0.25">
      <c r="A4" s="239" t="s">
        <v>123</v>
      </c>
      <c r="B4" s="276">
        <v>54000</v>
      </c>
      <c r="C4" s="276">
        <v>54000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>
        <f t="shared" si="0"/>
        <v>108000</v>
      </c>
    </row>
    <row r="5" spans="1:14" x14ac:dyDescent="0.25">
      <c r="A5" s="239" t="s">
        <v>134</v>
      </c>
      <c r="B5" s="276">
        <v>35017.629999999997</v>
      </c>
      <c r="C5" s="276">
        <v>35017.629999999997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>
        <f t="shared" si="0"/>
        <v>70035.259999999995</v>
      </c>
    </row>
    <row r="6" spans="1:14" x14ac:dyDescent="0.25">
      <c r="A6" s="239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>
        <f t="shared" si="0"/>
        <v>0</v>
      </c>
    </row>
    <row r="7" spans="1:14" x14ac:dyDescent="0.25">
      <c r="A7" s="239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>
        <f t="shared" si="0"/>
        <v>0</v>
      </c>
    </row>
    <row r="8" spans="1:14" x14ac:dyDescent="0.25">
      <c r="A8" s="239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>
        <f t="shared" si="0"/>
        <v>0</v>
      </c>
    </row>
    <row r="9" spans="1:14" x14ac:dyDescent="0.25">
      <c r="A9" s="239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>
        <f t="shared" si="0"/>
        <v>0</v>
      </c>
    </row>
    <row r="10" spans="1:14" x14ac:dyDescent="0.25">
      <c r="A10" s="243" t="s">
        <v>98</v>
      </c>
      <c r="B10" s="257">
        <f t="shared" ref="B10:N10" si="1">SUM(B3:B9)</f>
        <v>454017.63</v>
      </c>
      <c r="C10" s="257">
        <f t="shared" si="1"/>
        <v>501017.63</v>
      </c>
      <c r="D10" s="257">
        <f t="shared" si="1"/>
        <v>0</v>
      </c>
      <c r="E10" s="257">
        <f t="shared" si="1"/>
        <v>0</v>
      </c>
      <c r="F10" s="257">
        <f t="shared" si="1"/>
        <v>0</v>
      </c>
      <c r="G10" s="257">
        <f t="shared" si="1"/>
        <v>0</v>
      </c>
      <c r="H10" s="257">
        <f t="shared" si="1"/>
        <v>0</v>
      </c>
      <c r="I10" s="257">
        <f t="shared" si="1"/>
        <v>0</v>
      </c>
      <c r="J10" s="257">
        <f t="shared" si="1"/>
        <v>0</v>
      </c>
      <c r="K10" s="257">
        <f t="shared" si="1"/>
        <v>0</v>
      </c>
      <c r="L10" s="257">
        <f t="shared" si="1"/>
        <v>0</v>
      </c>
      <c r="M10" s="257">
        <f t="shared" si="1"/>
        <v>0</v>
      </c>
      <c r="N10" s="257">
        <f t="shared" si="1"/>
        <v>955035.26</v>
      </c>
    </row>
    <row r="12" spans="1:14" x14ac:dyDescent="0.25">
      <c r="N12" s="249">
        <f>SUM(B10:M10)-N10</f>
        <v>0</v>
      </c>
    </row>
  </sheetData>
  <phoneticPr fontId="21" type="noConversion"/>
  <pageMargins left="0.25" right="0.25" top="0.75" bottom="0.75" header="0.3" footer="0.3"/>
  <pageSetup paperSize="9" scale="74" firstPageNumber="42949672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79998168889431442"/>
    <pageSetUpPr fitToPage="1"/>
  </sheetPr>
  <dimension ref="A1:P8"/>
  <sheetViews>
    <sheetView workbookViewId="0">
      <selection activeCell="I1" sqref="I1"/>
    </sheetView>
  </sheetViews>
  <sheetFormatPr defaultRowHeight="15" x14ac:dyDescent="0.25"/>
  <cols>
    <col min="1" max="1" width="36.5703125" bestFit="1" customWidth="1"/>
    <col min="3" max="3" width="7.140625" customWidth="1"/>
    <col min="4" max="4" width="7.85546875" customWidth="1"/>
    <col min="5" max="5" width="7.5703125" customWidth="1"/>
    <col min="6" max="6" width="7.7109375" customWidth="1"/>
    <col min="16" max="16" width="10.42578125" bestFit="1" customWidth="1"/>
  </cols>
  <sheetData>
    <row r="1" spans="1:16" x14ac:dyDescent="0.25">
      <c r="A1" s="243" t="s">
        <v>38</v>
      </c>
      <c r="B1" s="250"/>
      <c r="C1" s="250"/>
      <c r="D1" s="250"/>
      <c r="E1" s="250"/>
      <c r="F1" s="216"/>
      <c r="G1" s="216" t="str">
        <f>'ВСЕ затраты'!B1</f>
        <v>2023-2024гг.</v>
      </c>
      <c r="H1" s="250"/>
      <c r="I1" s="250"/>
      <c r="J1" s="250"/>
      <c r="K1" s="250"/>
      <c r="L1" s="250"/>
      <c r="M1" s="250"/>
      <c r="N1" s="244"/>
    </row>
    <row r="2" spans="1:16" x14ac:dyDescent="0.25">
      <c r="A2" s="244"/>
      <c r="B2" s="265" t="s">
        <v>4</v>
      </c>
      <c r="C2" s="265" t="s">
        <v>5</v>
      </c>
      <c r="D2" s="265" t="s">
        <v>6</v>
      </c>
      <c r="E2" s="266" t="s">
        <v>7</v>
      </c>
      <c r="F2" s="265" t="s">
        <v>8</v>
      </c>
      <c r="G2" s="266" t="s">
        <v>9</v>
      </c>
      <c r="H2" s="265" t="s">
        <v>14</v>
      </c>
      <c r="I2" s="266" t="s">
        <v>15</v>
      </c>
      <c r="J2" s="265" t="s">
        <v>16</v>
      </c>
      <c r="K2" s="265" t="s">
        <v>17</v>
      </c>
      <c r="L2" s="265" t="s">
        <v>18</v>
      </c>
      <c r="M2" s="265" t="s">
        <v>19</v>
      </c>
      <c r="N2" s="265"/>
      <c r="P2" s="97"/>
    </row>
    <row r="3" spans="1:16" x14ac:dyDescent="0.25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>
        <f>SUM(B3:M3)</f>
        <v>0</v>
      </c>
      <c r="P3" s="97"/>
    </row>
    <row r="4" spans="1:16" x14ac:dyDescent="0.25">
      <c r="A4" s="239"/>
      <c r="B4" s="228"/>
      <c r="C4" s="239"/>
      <c r="D4" s="239"/>
      <c r="E4" s="228"/>
      <c r="F4" s="239"/>
      <c r="G4" s="239"/>
      <c r="H4" s="228"/>
      <c r="I4" s="239"/>
      <c r="J4" s="239"/>
      <c r="K4" s="239"/>
      <c r="L4" s="239"/>
      <c r="M4" s="239"/>
      <c r="N4" s="239">
        <f>SUM(B4:M4)</f>
        <v>0</v>
      </c>
    </row>
    <row r="5" spans="1:16" x14ac:dyDescent="0.25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>
        <f>SUM(B5:M5)</f>
        <v>0</v>
      </c>
    </row>
    <row r="6" spans="1:16" x14ac:dyDescent="0.25">
      <c r="A6" s="243" t="s">
        <v>98</v>
      </c>
      <c r="B6" s="241">
        <f>SUM(B3:B5)</f>
        <v>0</v>
      </c>
      <c r="C6" s="241">
        <f t="shared" ref="C6:N6" si="0">SUM(C3:C5)</f>
        <v>0</v>
      </c>
      <c r="D6" s="241">
        <f t="shared" si="0"/>
        <v>0</v>
      </c>
      <c r="E6" s="241">
        <f t="shared" si="0"/>
        <v>0</v>
      </c>
      <c r="F6" s="241">
        <f t="shared" si="0"/>
        <v>0</v>
      </c>
      <c r="G6" s="241">
        <f t="shared" si="0"/>
        <v>0</v>
      </c>
      <c r="H6" s="241">
        <f t="shared" si="0"/>
        <v>0</v>
      </c>
      <c r="I6" s="241">
        <f t="shared" si="0"/>
        <v>0</v>
      </c>
      <c r="J6" s="241">
        <f t="shared" si="0"/>
        <v>0</v>
      </c>
      <c r="K6" s="241">
        <f t="shared" si="0"/>
        <v>0</v>
      </c>
      <c r="L6" s="241">
        <f t="shared" si="0"/>
        <v>0</v>
      </c>
      <c r="M6" s="241">
        <f t="shared" si="0"/>
        <v>0</v>
      </c>
      <c r="N6" s="241">
        <f t="shared" si="0"/>
        <v>0</v>
      </c>
    </row>
    <row r="8" spans="1:16" x14ac:dyDescent="0.25">
      <c r="N8" s="249">
        <f>SUM(B6:M6)-N6</f>
        <v>0</v>
      </c>
    </row>
  </sheetData>
  <phoneticPr fontId="21" type="noConversion"/>
  <pageMargins left="0.25" right="0.25" top="0.75" bottom="0.75" header="0.3" footer="0.3"/>
  <pageSetup paperSize="9" scale="95" firstPageNumber="4294967295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59999389629810485"/>
    <pageSetUpPr fitToPage="1"/>
  </sheetPr>
  <dimension ref="A1:N32"/>
  <sheetViews>
    <sheetView workbookViewId="0">
      <selection activeCell="A5" sqref="A5:XFD5"/>
    </sheetView>
  </sheetViews>
  <sheetFormatPr defaultRowHeight="15" x14ac:dyDescent="0.25"/>
  <cols>
    <col min="1" max="1" width="35.140625" bestFit="1" customWidth="1"/>
    <col min="2" max="2" width="11.28515625" style="1" customWidth="1"/>
    <col min="3" max="3" width="11.140625" customWidth="1"/>
    <col min="4" max="4" width="9" customWidth="1"/>
    <col min="5" max="5" width="9.140625" style="1"/>
    <col min="6" max="6" width="9.7109375" customWidth="1"/>
  </cols>
  <sheetData>
    <row r="1" spans="1:14" x14ac:dyDescent="0.25">
      <c r="A1" s="243" t="s">
        <v>39</v>
      </c>
      <c r="B1" s="215"/>
      <c r="C1" s="250"/>
      <c r="D1" s="250"/>
      <c r="E1" s="215"/>
      <c r="F1" s="216"/>
      <c r="G1" s="216" t="str">
        <f>'ВСЕ затраты'!B1</f>
        <v>2023-2024гг.</v>
      </c>
      <c r="H1" s="250"/>
      <c r="I1" s="250"/>
      <c r="J1" s="250"/>
      <c r="K1" s="250"/>
      <c r="L1" s="250"/>
      <c r="M1" s="250"/>
      <c r="N1" s="244"/>
    </row>
    <row r="2" spans="1:14" x14ac:dyDescent="0.25">
      <c r="A2" s="239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98</v>
      </c>
    </row>
    <row r="3" spans="1:14" x14ac:dyDescent="0.25">
      <c r="A3" s="267" t="s">
        <v>136</v>
      </c>
      <c r="B3" s="219"/>
      <c r="C3" s="219">
        <f>5024+47752</f>
        <v>52776</v>
      </c>
      <c r="D3" s="219"/>
      <c r="E3" s="221"/>
      <c r="F3" s="219"/>
      <c r="G3" s="221"/>
      <c r="H3" s="219"/>
      <c r="I3" s="221"/>
      <c r="J3" s="219"/>
      <c r="K3" s="219"/>
      <c r="L3" s="219"/>
      <c r="M3" s="219"/>
      <c r="N3" s="239">
        <f>SUM(B3:M3)</f>
        <v>52776</v>
      </c>
    </row>
    <row r="4" spans="1:14" x14ac:dyDescent="0.25">
      <c r="A4" s="239" t="s">
        <v>138</v>
      </c>
      <c r="B4" s="219"/>
      <c r="C4" s="219">
        <v>21756</v>
      </c>
      <c r="D4" s="219"/>
      <c r="E4" s="221"/>
      <c r="F4" s="219"/>
      <c r="G4" s="221"/>
      <c r="H4" s="219"/>
      <c r="I4" s="221"/>
      <c r="J4" s="219"/>
      <c r="K4" s="219"/>
      <c r="L4" s="219"/>
      <c r="M4" s="219"/>
      <c r="N4" s="239">
        <f>SUM(B4:M4)</f>
        <v>21756</v>
      </c>
    </row>
    <row r="5" spans="1:14" x14ac:dyDescent="0.25">
      <c r="A5" s="292"/>
      <c r="B5" s="219"/>
      <c r="C5" s="219"/>
      <c r="D5" s="239"/>
      <c r="E5" s="228"/>
      <c r="F5" s="239"/>
      <c r="G5" s="239"/>
      <c r="H5" s="239"/>
      <c r="I5" s="239"/>
      <c r="J5" s="239"/>
      <c r="K5" s="239"/>
      <c r="L5" s="239"/>
      <c r="M5" s="239"/>
      <c r="N5" s="239">
        <f>SUM(B5:M5)</f>
        <v>0</v>
      </c>
    </row>
    <row r="6" spans="1:14" x14ac:dyDescent="0.25">
      <c r="A6" s="239"/>
      <c r="B6" s="239"/>
      <c r="C6" s="219"/>
      <c r="D6" s="239"/>
      <c r="E6" s="228"/>
      <c r="F6" s="239"/>
      <c r="G6" s="239"/>
      <c r="H6" s="239"/>
      <c r="I6" s="239"/>
      <c r="J6" s="239"/>
      <c r="K6" s="239"/>
      <c r="L6" s="239"/>
      <c r="M6" s="239"/>
      <c r="N6" s="239">
        <f>SUM(B6:M6)</f>
        <v>0</v>
      </c>
    </row>
    <row r="7" spans="1:14" x14ac:dyDescent="0.25">
      <c r="A7" s="269"/>
      <c r="B7" s="219"/>
      <c r="C7" s="219"/>
      <c r="D7" s="239"/>
      <c r="E7" s="228"/>
      <c r="F7" s="239"/>
      <c r="G7" s="239"/>
      <c r="H7" s="239"/>
      <c r="I7" s="239"/>
      <c r="J7" s="239"/>
      <c r="K7" s="239"/>
      <c r="L7" s="239"/>
      <c r="M7" s="239"/>
      <c r="N7" s="239">
        <f>SUM(B7:M7)</f>
        <v>0</v>
      </c>
    </row>
    <row r="8" spans="1:14" x14ac:dyDescent="0.25">
      <c r="A8" s="267"/>
      <c r="B8" s="219"/>
      <c r="C8" s="219"/>
      <c r="D8" s="239"/>
      <c r="E8" s="228"/>
      <c r="F8" s="239"/>
      <c r="G8" s="239"/>
      <c r="H8" s="239"/>
      <c r="I8" s="239"/>
      <c r="J8" s="239"/>
      <c r="K8" s="239"/>
      <c r="L8" s="239"/>
      <c r="M8" s="239"/>
      <c r="N8" s="239">
        <f>SUM(B8:M8)</f>
        <v>0</v>
      </c>
    </row>
    <row r="9" spans="1:14" x14ac:dyDescent="0.25">
      <c r="A9" s="267"/>
      <c r="B9" s="219"/>
      <c r="C9" s="219"/>
      <c r="D9" s="239"/>
      <c r="E9" s="228"/>
      <c r="F9" s="239"/>
      <c r="G9" s="239"/>
      <c r="H9" s="239"/>
      <c r="I9" s="239"/>
      <c r="J9" s="239"/>
      <c r="K9" s="239"/>
      <c r="L9" s="239"/>
      <c r="M9" s="239"/>
      <c r="N9" s="239">
        <f>SUM(B9:M9)</f>
        <v>0</v>
      </c>
    </row>
    <row r="10" spans="1:14" x14ac:dyDescent="0.25">
      <c r="A10" s="267"/>
      <c r="B10" s="228"/>
      <c r="C10" s="228"/>
      <c r="D10" s="239"/>
      <c r="E10" s="228"/>
      <c r="F10" s="228"/>
      <c r="G10" s="239"/>
      <c r="H10" s="239"/>
      <c r="I10" s="239"/>
      <c r="J10" s="239"/>
      <c r="K10" s="239"/>
      <c r="L10" s="239"/>
      <c r="M10" s="239"/>
      <c r="N10" s="239">
        <f>SUM(B10:M10)</f>
        <v>0</v>
      </c>
    </row>
    <row r="11" spans="1:14" x14ac:dyDescent="0.25">
      <c r="A11" s="250"/>
      <c r="B11" s="239"/>
      <c r="C11" s="239"/>
      <c r="D11" s="237"/>
      <c r="E11" s="238"/>
      <c r="F11" s="239"/>
      <c r="G11" s="239"/>
      <c r="H11" s="239"/>
      <c r="I11" s="239"/>
      <c r="J11" s="239"/>
      <c r="K11" s="239"/>
      <c r="L11" s="239"/>
      <c r="M11" s="239"/>
      <c r="N11" s="239">
        <f>SUM(B11:M11)</f>
        <v>0</v>
      </c>
    </row>
    <row r="12" spans="1:14" x14ac:dyDescent="0.25">
      <c r="A12" s="250"/>
      <c r="B12" s="237"/>
      <c r="C12" s="237"/>
      <c r="D12" s="237"/>
      <c r="E12" s="238"/>
      <c r="F12" s="239"/>
      <c r="G12" s="239"/>
      <c r="H12" s="239"/>
      <c r="I12" s="239"/>
      <c r="J12" s="239"/>
      <c r="K12" s="239"/>
      <c r="L12" s="239"/>
      <c r="M12" s="239"/>
      <c r="N12" s="239">
        <f>SUM(B12:M12)</f>
        <v>0</v>
      </c>
    </row>
    <row r="13" spans="1:14" x14ac:dyDescent="0.25">
      <c r="A13" s="256"/>
      <c r="B13" s="239"/>
      <c r="C13" s="239"/>
      <c r="D13" s="239"/>
      <c r="E13" s="240"/>
      <c r="F13" s="239"/>
      <c r="G13" s="239"/>
      <c r="H13" s="239"/>
      <c r="I13" s="239"/>
      <c r="J13" s="239"/>
      <c r="K13" s="239"/>
      <c r="L13" s="239"/>
      <c r="M13" s="239"/>
      <c r="N13" s="239">
        <f>SUM(B13:M13)</f>
        <v>0</v>
      </c>
    </row>
    <row r="14" spans="1:14" x14ac:dyDescent="0.25">
      <c r="A14" s="239"/>
      <c r="B14" s="228"/>
      <c r="C14" s="239"/>
      <c r="D14" s="239"/>
      <c r="E14" s="228"/>
      <c r="F14" s="239"/>
      <c r="G14" s="239"/>
      <c r="H14" s="239"/>
      <c r="I14" s="239"/>
      <c r="J14" s="239"/>
      <c r="K14" s="239"/>
      <c r="L14" s="239"/>
      <c r="M14" s="239"/>
      <c r="N14" s="239">
        <f>SUM(B14:M14)</f>
        <v>0</v>
      </c>
    </row>
    <row r="15" spans="1:14" x14ac:dyDescent="0.25">
      <c r="A15" s="239"/>
      <c r="B15" s="228"/>
      <c r="C15" s="239"/>
      <c r="D15" s="239"/>
      <c r="E15" s="228"/>
      <c r="F15" s="239"/>
      <c r="G15" s="239"/>
      <c r="H15" s="239"/>
      <c r="I15" s="239"/>
      <c r="J15" s="239"/>
      <c r="K15" s="239"/>
      <c r="L15" s="239"/>
      <c r="M15" s="239"/>
      <c r="N15" s="239">
        <f>SUM(B15:M15)</f>
        <v>0</v>
      </c>
    </row>
    <row r="16" spans="1:14" x14ac:dyDescent="0.25">
      <c r="A16" s="239"/>
      <c r="B16" s="228"/>
      <c r="C16" s="239"/>
      <c r="D16" s="239"/>
      <c r="E16" s="228"/>
      <c r="F16" s="239"/>
      <c r="G16" s="239"/>
      <c r="H16" s="239"/>
      <c r="I16" s="239"/>
      <c r="J16" s="239"/>
      <c r="K16" s="239"/>
      <c r="L16" s="239"/>
      <c r="M16" s="239"/>
      <c r="N16" s="239">
        <f>SUM(B16:M16)</f>
        <v>0</v>
      </c>
    </row>
    <row r="17" spans="1:14" x14ac:dyDescent="0.25">
      <c r="A17" s="239"/>
      <c r="B17" s="228"/>
      <c r="C17" s="239"/>
      <c r="D17" s="239"/>
      <c r="E17" s="228"/>
      <c r="F17" s="239"/>
      <c r="G17" s="239"/>
      <c r="H17" s="239"/>
      <c r="I17" s="239"/>
      <c r="J17" s="239"/>
      <c r="K17" s="239"/>
      <c r="L17" s="239"/>
      <c r="M17" s="239"/>
      <c r="N17" s="239">
        <f>SUM(B17:M17)</f>
        <v>0</v>
      </c>
    </row>
    <row r="18" spans="1:14" x14ac:dyDescent="0.25">
      <c r="A18" s="239"/>
      <c r="B18" s="228"/>
      <c r="C18" s="239"/>
      <c r="D18" s="239"/>
      <c r="E18" s="228"/>
      <c r="F18" s="239"/>
      <c r="G18" s="239"/>
      <c r="H18" s="239"/>
      <c r="I18" s="239"/>
      <c r="J18" s="239"/>
      <c r="K18" s="239"/>
      <c r="L18" s="239"/>
      <c r="M18" s="239"/>
      <c r="N18" s="239">
        <f>SUM(B18:M18)</f>
        <v>0</v>
      </c>
    </row>
    <row r="19" spans="1:14" x14ac:dyDescent="0.25">
      <c r="A19" s="239"/>
      <c r="B19" s="228"/>
      <c r="C19" s="239"/>
      <c r="D19" s="239"/>
      <c r="E19" s="228"/>
      <c r="F19" s="239"/>
      <c r="G19" s="239"/>
      <c r="H19" s="239"/>
      <c r="I19" s="239"/>
      <c r="J19" s="239"/>
      <c r="K19" s="239"/>
      <c r="L19" s="239"/>
      <c r="M19" s="239"/>
      <c r="N19" s="239">
        <f>SUM(B19:M19)</f>
        <v>0</v>
      </c>
    </row>
    <row r="20" spans="1:14" x14ac:dyDescent="0.25">
      <c r="A20" s="239"/>
      <c r="B20" s="228"/>
      <c r="C20" s="239"/>
      <c r="D20" s="239"/>
      <c r="E20" s="228"/>
      <c r="F20" s="239"/>
      <c r="G20" s="239"/>
      <c r="H20" s="239"/>
      <c r="I20" s="239"/>
      <c r="J20" s="239"/>
      <c r="K20" s="239"/>
      <c r="L20" s="239"/>
      <c r="M20" s="239"/>
      <c r="N20" s="239">
        <f>SUM(B20:M20)</f>
        <v>0</v>
      </c>
    </row>
    <row r="21" spans="1:14" x14ac:dyDescent="0.25">
      <c r="A21" s="239"/>
      <c r="B21" s="228"/>
      <c r="C21" s="239"/>
      <c r="D21" s="239"/>
      <c r="E21" s="228"/>
      <c r="F21" s="239"/>
      <c r="G21" s="239"/>
      <c r="H21" s="239"/>
      <c r="I21" s="239"/>
      <c r="J21" s="239"/>
      <c r="K21" s="239"/>
      <c r="L21" s="239"/>
      <c r="M21" s="239"/>
      <c r="N21" s="239">
        <f>SUM(B21:M21)</f>
        <v>0</v>
      </c>
    </row>
    <row r="22" spans="1:14" x14ac:dyDescent="0.25">
      <c r="A22" s="239"/>
      <c r="B22" s="228"/>
      <c r="C22" s="239"/>
      <c r="D22" s="239"/>
      <c r="E22" s="228"/>
      <c r="F22" s="239"/>
      <c r="G22" s="239"/>
      <c r="H22" s="239"/>
      <c r="I22" s="239"/>
      <c r="J22" s="239"/>
      <c r="K22" s="239"/>
      <c r="L22" s="239"/>
      <c r="M22" s="239"/>
      <c r="N22" s="239">
        <f>SUM(B22:M22)</f>
        <v>0</v>
      </c>
    </row>
    <row r="23" spans="1:14" x14ac:dyDescent="0.25">
      <c r="A23" s="239"/>
      <c r="B23" s="228"/>
      <c r="C23" s="239"/>
      <c r="D23" s="239"/>
      <c r="E23" s="228"/>
      <c r="F23" s="239"/>
      <c r="G23" s="239"/>
      <c r="H23" s="239"/>
      <c r="I23" s="239"/>
      <c r="J23" s="239"/>
      <c r="K23" s="239"/>
      <c r="L23" s="239"/>
      <c r="M23" s="239"/>
      <c r="N23" s="239">
        <f>SUM(B23:M23)</f>
        <v>0</v>
      </c>
    </row>
    <row r="24" spans="1:14" x14ac:dyDescent="0.25">
      <c r="A24" s="239"/>
      <c r="B24" s="228"/>
      <c r="C24" s="239"/>
      <c r="D24" s="239"/>
      <c r="E24" s="228"/>
      <c r="F24" s="239"/>
      <c r="G24" s="239"/>
      <c r="H24" s="239"/>
      <c r="I24" s="239"/>
      <c r="J24" s="239"/>
      <c r="K24" s="239"/>
      <c r="L24" s="239"/>
      <c r="M24" s="239"/>
      <c r="N24" s="239">
        <f>SUM(B24:M24)</f>
        <v>0</v>
      </c>
    </row>
    <row r="25" spans="1:14" x14ac:dyDescent="0.25">
      <c r="A25" s="270"/>
      <c r="B25" s="239"/>
      <c r="C25" s="228"/>
      <c r="D25" s="239"/>
      <c r="E25" s="239"/>
      <c r="F25" s="228"/>
      <c r="G25" s="228"/>
      <c r="H25" s="239"/>
      <c r="I25" s="239"/>
      <c r="J25" s="239"/>
      <c r="K25" s="239"/>
      <c r="L25" s="239"/>
      <c r="M25" s="239"/>
      <c r="N25" s="239">
        <f>SUM(B25:M25)</f>
        <v>0</v>
      </c>
    </row>
    <row r="26" spans="1:14" x14ac:dyDescent="0.25">
      <c r="A26" s="239"/>
      <c r="B26" s="228"/>
      <c r="C26" s="239"/>
      <c r="D26" s="239"/>
      <c r="E26" s="228"/>
      <c r="F26" s="239"/>
      <c r="G26" s="239"/>
      <c r="H26" s="239"/>
      <c r="I26" s="239"/>
      <c r="J26" s="239"/>
      <c r="K26" s="239"/>
      <c r="L26" s="239"/>
      <c r="M26" s="239"/>
      <c r="N26" s="239">
        <f>SUM(B26:M26)</f>
        <v>0</v>
      </c>
    </row>
    <row r="27" spans="1:14" x14ac:dyDescent="0.25">
      <c r="A27" s="239"/>
      <c r="B27" s="228"/>
      <c r="C27" s="239"/>
      <c r="D27" s="239"/>
      <c r="E27" s="228"/>
      <c r="F27" s="239"/>
      <c r="G27" s="239"/>
      <c r="H27" s="239"/>
      <c r="I27" s="239"/>
      <c r="J27" s="239"/>
      <c r="K27" s="239"/>
      <c r="L27" s="239"/>
      <c r="M27" s="239"/>
      <c r="N27" s="239">
        <f>SUM(B27:M27)</f>
        <v>0</v>
      </c>
    </row>
    <row r="28" spans="1:14" x14ac:dyDescent="0.25">
      <c r="A28" s="239"/>
      <c r="B28" s="228"/>
      <c r="C28" s="239"/>
      <c r="D28" s="239"/>
      <c r="E28" s="228"/>
      <c r="F28" s="239"/>
      <c r="G28" s="239"/>
      <c r="H28" s="239"/>
      <c r="I28" s="239"/>
      <c r="J28" s="239"/>
      <c r="K28" s="239"/>
      <c r="L28" s="239"/>
      <c r="M28" s="239"/>
      <c r="N28" s="239">
        <f>SUM(B28:M28)</f>
        <v>0</v>
      </c>
    </row>
    <row r="29" spans="1:14" x14ac:dyDescent="0.25">
      <c r="A29" s="239"/>
      <c r="B29" s="228"/>
      <c r="C29" s="239"/>
      <c r="D29" s="239"/>
      <c r="E29" s="228"/>
      <c r="F29" s="239"/>
      <c r="G29" s="239"/>
      <c r="H29" s="239"/>
      <c r="I29" s="239"/>
      <c r="J29" s="239"/>
      <c r="K29" s="239"/>
      <c r="L29" s="239"/>
      <c r="M29" s="239"/>
      <c r="N29" s="239">
        <f>SUM(B29:M29)</f>
        <v>0</v>
      </c>
    </row>
    <row r="30" spans="1:14" x14ac:dyDescent="0.25">
      <c r="A30" s="243" t="s">
        <v>98</v>
      </c>
      <c r="B30" s="241">
        <f>SUM(B3:B29)</f>
        <v>0</v>
      </c>
      <c r="C30" s="241">
        <f>SUM(C3:C29)</f>
        <v>74532</v>
      </c>
      <c r="D30" s="241">
        <f>SUM(D3:D29)</f>
        <v>0</v>
      </c>
      <c r="E30" s="241">
        <f>SUM(E3:E29)</f>
        <v>0</v>
      </c>
      <c r="F30" s="241">
        <f>SUM(F3:F29)</f>
        <v>0</v>
      </c>
      <c r="G30" s="241">
        <f>SUM(G3:G29)</f>
        <v>0</v>
      </c>
      <c r="H30" s="241">
        <f>SUM(H3:H29)</f>
        <v>0</v>
      </c>
      <c r="I30" s="241">
        <f>SUM(I3:I29)</f>
        <v>0</v>
      </c>
      <c r="J30" s="241">
        <f>SUM(J3:J29)</f>
        <v>0</v>
      </c>
      <c r="K30" s="241">
        <f>SUM(K3:K29)</f>
        <v>0</v>
      </c>
      <c r="L30" s="241">
        <f>SUM(L3:L29)</f>
        <v>0</v>
      </c>
      <c r="M30" s="241">
        <f>SUM(M3:M29)</f>
        <v>0</v>
      </c>
      <c r="N30" s="241">
        <f>SUM(N3:N29)</f>
        <v>74532</v>
      </c>
    </row>
    <row r="32" spans="1:14" x14ac:dyDescent="0.25">
      <c r="N32" s="249">
        <f>SUM(B30:M30)-N30</f>
        <v>0</v>
      </c>
    </row>
  </sheetData>
  <phoneticPr fontId="21" type="noConversion"/>
  <pageMargins left="0.25" right="0.25" top="0.75" bottom="0.75" header="0.3" footer="0.3"/>
  <pageSetup paperSize="9" scale="89" firstPageNumber="42949672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2" tint="-0.499984740745262"/>
    <pageSetUpPr fitToPage="1"/>
  </sheetPr>
  <dimension ref="A1:N40"/>
  <sheetViews>
    <sheetView workbookViewId="0">
      <selection activeCell="A10" sqref="A10:XFD10"/>
    </sheetView>
  </sheetViews>
  <sheetFormatPr defaultRowHeight="15" x14ac:dyDescent="0.25"/>
  <cols>
    <col min="1" max="1" width="38.7109375" bestFit="1" customWidth="1"/>
    <col min="2" max="2" width="7.5703125" bestFit="1" customWidth="1"/>
    <col min="3" max="3" width="9" style="1" bestFit="1" customWidth="1"/>
    <col min="4" max="4" width="6.5703125" bestFit="1" customWidth="1"/>
    <col min="5" max="5" width="8.7109375" bestFit="1" customWidth="1"/>
    <col min="6" max="7" width="11.5703125" style="1" bestFit="1" customWidth="1"/>
    <col min="8" max="8" width="9" bestFit="1" customWidth="1"/>
    <col min="9" max="9" width="7" bestFit="1" customWidth="1"/>
    <col min="10" max="10" width="8.28515625" bestFit="1" customWidth="1"/>
    <col min="11" max="11" width="6.5703125" bestFit="1" customWidth="1"/>
    <col min="12" max="12" width="7.5703125" bestFit="1" customWidth="1"/>
    <col min="13" max="13" width="7.140625" bestFit="1" customWidth="1"/>
    <col min="14" max="14" width="9" bestFit="1" customWidth="1"/>
  </cols>
  <sheetData>
    <row r="1" spans="1:14" x14ac:dyDescent="0.25">
      <c r="A1" s="243" t="s">
        <v>124</v>
      </c>
      <c r="B1" s="250"/>
      <c r="C1" s="215"/>
      <c r="D1" s="250"/>
      <c r="E1" s="250"/>
      <c r="F1" s="216"/>
      <c r="G1" s="216" t="str">
        <f>'ВСЕ затраты'!B1</f>
        <v>2023-2024гг.</v>
      </c>
      <c r="H1" s="250"/>
      <c r="I1" s="250"/>
      <c r="J1" s="250"/>
      <c r="K1" s="250"/>
      <c r="L1" s="250"/>
      <c r="M1" s="250"/>
      <c r="N1" s="244"/>
    </row>
    <row r="2" spans="1:14" x14ac:dyDescent="0.25">
      <c r="A2" s="244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98</v>
      </c>
    </row>
    <row r="3" spans="1:14" x14ac:dyDescent="0.25">
      <c r="A3" s="256" t="s">
        <v>125</v>
      </c>
      <c r="B3" s="239"/>
      <c r="C3" s="228">
        <v>16300</v>
      </c>
      <c r="D3" s="239"/>
      <c r="E3" s="239"/>
      <c r="F3" s="228"/>
      <c r="G3" s="228"/>
      <c r="H3" s="239"/>
      <c r="I3" s="239"/>
      <c r="J3" s="239"/>
      <c r="K3" s="239"/>
      <c r="L3" s="239"/>
      <c r="M3" s="239"/>
      <c r="N3" s="239">
        <f>SUM(B3:M3)</f>
        <v>16300</v>
      </c>
    </row>
    <row r="4" spans="1:14" x14ac:dyDescent="0.25">
      <c r="A4" s="271" t="s">
        <v>126</v>
      </c>
      <c r="B4" s="193"/>
      <c r="C4" s="236"/>
      <c r="D4" s="193"/>
      <c r="E4" s="272"/>
      <c r="F4" s="236"/>
      <c r="G4" s="236"/>
      <c r="H4" s="193"/>
      <c r="I4" s="193"/>
      <c r="J4" s="193"/>
      <c r="K4" s="193"/>
      <c r="L4" s="193"/>
      <c r="M4" s="239"/>
      <c r="N4" s="239">
        <f>SUM(B4:M4)</f>
        <v>0</v>
      </c>
    </row>
    <row r="5" spans="1:14" x14ac:dyDescent="0.25">
      <c r="A5" s="271" t="s">
        <v>164</v>
      </c>
      <c r="B5" s="239">
        <v>481</v>
      </c>
      <c r="C5" s="228"/>
      <c r="D5" s="239"/>
      <c r="E5" s="239"/>
      <c r="F5" s="228"/>
      <c r="G5" s="228"/>
      <c r="H5" s="239"/>
      <c r="I5" s="239"/>
      <c r="J5" s="239"/>
      <c r="K5" s="239"/>
      <c r="L5" s="239"/>
      <c r="M5" s="239"/>
      <c r="N5" s="239">
        <f>SUM(B5:M5)</f>
        <v>481</v>
      </c>
    </row>
    <row r="6" spans="1:14" x14ac:dyDescent="0.25">
      <c r="A6" s="271" t="s">
        <v>165</v>
      </c>
      <c r="B6" s="239">
        <v>1175</v>
      </c>
      <c r="C6" s="228"/>
      <c r="D6" s="239"/>
      <c r="E6" s="239"/>
      <c r="F6" s="228"/>
      <c r="G6" s="228"/>
      <c r="H6" s="239"/>
      <c r="I6" s="239"/>
      <c r="J6" s="239"/>
      <c r="K6" s="239"/>
      <c r="L6" s="239"/>
      <c r="M6" s="239"/>
      <c r="N6" s="239">
        <f>SUM(B6:M6)</f>
        <v>1175</v>
      </c>
    </row>
    <row r="7" spans="1:14" x14ac:dyDescent="0.25">
      <c r="A7" s="256" t="s">
        <v>166</v>
      </c>
      <c r="B7" s="239">
        <v>300</v>
      </c>
      <c r="C7" s="228"/>
      <c r="D7" s="239"/>
      <c r="E7" s="239"/>
      <c r="F7" s="228"/>
      <c r="G7" s="228"/>
      <c r="H7" s="239"/>
      <c r="I7" s="239"/>
      <c r="J7" s="239"/>
      <c r="K7" s="239"/>
      <c r="L7" s="239"/>
      <c r="M7" s="239"/>
      <c r="N7" s="239">
        <f>SUM(B7:M7)</f>
        <v>300</v>
      </c>
    </row>
    <row r="8" spans="1:14" x14ac:dyDescent="0.25">
      <c r="A8" s="256" t="s">
        <v>174</v>
      </c>
      <c r="B8" s="239"/>
      <c r="C8" s="228">
        <v>13740</v>
      </c>
      <c r="D8" s="239"/>
      <c r="E8" s="239"/>
      <c r="F8" s="228"/>
      <c r="G8" s="228"/>
      <c r="H8" s="239"/>
      <c r="I8" s="239"/>
      <c r="J8" s="239"/>
      <c r="K8" s="239"/>
      <c r="L8" s="239"/>
      <c r="M8" s="239"/>
      <c r="N8" s="239">
        <f>SUM(B8:M8)</f>
        <v>13740</v>
      </c>
    </row>
    <row r="9" spans="1:14" x14ac:dyDescent="0.25">
      <c r="A9" s="256" t="s">
        <v>176</v>
      </c>
      <c r="B9" s="239"/>
      <c r="C9" s="228">
        <v>14000</v>
      </c>
      <c r="D9" s="239"/>
      <c r="E9" s="239"/>
      <c r="F9" s="228"/>
      <c r="G9" s="228"/>
      <c r="H9" s="239"/>
      <c r="I9" s="239"/>
      <c r="J9" s="239"/>
      <c r="K9" s="239"/>
      <c r="L9" s="239"/>
      <c r="M9" s="239"/>
      <c r="N9" s="239">
        <f>SUM(B9:M9)</f>
        <v>14000</v>
      </c>
    </row>
    <row r="10" spans="1:14" x14ac:dyDescent="0.25">
      <c r="A10" s="256" t="s">
        <v>200</v>
      </c>
      <c r="B10" s="239"/>
      <c r="C10" s="228">
        <v>760</v>
      </c>
      <c r="D10" s="239"/>
      <c r="E10" s="239"/>
      <c r="F10" s="228"/>
      <c r="G10" s="228"/>
      <c r="H10" s="239"/>
      <c r="I10" s="239"/>
      <c r="J10" s="239"/>
      <c r="K10" s="239"/>
      <c r="L10" s="239"/>
      <c r="M10" s="239"/>
      <c r="N10" s="239">
        <f>SUM(B10:M10)</f>
        <v>760</v>
      </c>
    </row>
    <row r="11" spans="1:14" x14ac:dyDescent="0.25">
      <c r="A11" s="256"/>
      <c r="B11" s="239"/>
      <c r="C11" s="228"/>
      <c r="D11" s="239"/>
      <c r="E11" s="239"/>
      <c r="F11" s="228"/>
      <c r="G11" s="228"/>
      <c r="H11" s="239"/>
      <c r="I11" s="239"/>
      <c r="J11" s="239"/>
      <c r="K11" s="239"/>
      <c r="L11" s="239"/>
      <c r="M11" s="239"/>
      <c r="N11" s="239">
        <f>SUM(B11:M11)</f>
        <v>0</v>
      </c>
    </row>
    <row r="12" spans="1:14" x14ac:dyDescent="0.25">
      <c r="A12" s="256"/>
      <c r="B12" s="239"/>
      <c r="C12" s="228"/>
      <c r="D12" s="239"/>
      <c r="E12" s="239"/>
      <c r="F12" s="228"/>
      <c r="G12" s="228"/>
      <c r="H12" s="239"/>
      <c r="I12" s="239"/>
      <c r="J12" s="239"/>
      <c r="K12" s="239"/>
      <c r="L12" s="239"/>
      <c r="M12" s="239"/>
      <c r="N12" s="239">
        <f>SUM(B12:M12)</f>
        <v>0</v>
      </c>
    </row>
    <row r="13" spans="1:14" x14ac:dyDescent="0.25">
      <c r="A13" s="256"/>
      <c r="B13" s="239"/>
      <c r="C13" s="228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>
        <f>SUM(B13:M13)</f>
        <v>0</v>
      </c>
    </row>
    <row r="14" spans="1:14" x14ac:dyDescent="0.25">
      <c r="A14" s="256"/>
      <c r="B14" s="239"/>
      <c r="C14" s="228"/>
      <c r="D14" s="239"/>
      <c r="E14" s="239"/>
      <c r="F14" s="228"/>
      <c r="G14" s="228"/>
      <c r="H14" s="239"/>
      <c r="I14" s="239"/>
      <c r="J14" s="239"/>
      <c r="K14" s="239"/>
      <c r="L14" s="239"/>
      <c r="M14" s="239"/>
      <c r="N14" s="239">
        <f>SUM(B14:M14)</f>
        <v>0</v>
      </c>
    </row>
    <row r="15" spans="1:14" x14ac:dyDescent="0.25">
      <c r="A15" s="256"/>
      <c r="B15" s="239"/>
      <c r="C15" s="228"/>
      <c r="D15" s="239"/>
      <c r="E15" s="239"/>
      <c r="F15" s="228"/>
      <c r="G15" s="228"/>
      <c r="H15" s="239"/>
      <c r="I15" s="239"/>
      <c r="J15" s="239"/>
      <c r="K15" s="239"/>
      <c r="L15" s="239"/>
      <c r="M15" s="239"/>
      <c r="N15" s="239">
        <f>SUM(B15:M15)</f>
        <v>0</v>
      </c>
    </row>
    <row r="16" spans="1:14" x14ac:dyDescent="0.25">
      <c r="A16" s="256"/>
      <c r="B16" s="239"/>
      <c r="C16" s="228"/>
      <c r="D16" s="239"/>
      <c r="E16" s="239"/>
      <c r="F16" s="228"/>
      <c r="G16" s="228"/>
      <c r="H16" s="239"/>
      <c r="I16" s="239"/>
      <c r="J16" s="239"/>
      <c r="K16" s="239"/>
      <c r="L16" s="239"/>
      <c r="M16" s="239"/>
      <c r="N16" s="239">
        <f>SUM(B16:M16)</f>
        <v>0</v>
      </c>
    </row>
    <row r="17" spans="1:14" x14ac:dyDescent="0.25">
      <c r="A17" s="256"/>
      <c r="B17" s="239"/>
      <c r="C17" s="228"/>
      <c r="D17" s="239"/>
      <c r="E17" s="239"/>
      <c r="F17" s="228"/>
      <c r="G17" s="228"/>
      <c r="H17" s="239"/>
      <c r="I17" s="239"/>
      <c r="J17" s="239"/>
      <c r="K17" s="239"/>
      <c r="L17" s="239"/>
      <c r="M17" s="239"/>
      <c r="N17" s="239">
        <f>SUM(B17:M17)</f>
        <v>0</v>
      </c>
    </row>
    <row r="18" spans="1:14" x14ac:dyDescent="0.25">
      <c r="A18" s="267"/>
      <c r="B18" s="228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>
        <f>SUM(B18:M18)</f>
        <v>0</v>
      </c>
    </row>
    <row r="19" spans="1:14" x14ac:dyDescent="0.25">
      <c r="A19" s="256"/>
      <c r="B19" s="239"/>
      <c r="C19" s="228"/>
      <c r="D19" s="239"/>
      <c r="E19" s="239"/>
      <c r="F19" s="228"/>
      <c r="G19" s="228"/>
      <c r="H19" s="239"/>
      <c r="I19" s="239"/>
      <c r="J19" s="239"/>
      <c r="K19" s="239"/>
      <c r="L19" s="239"/>
      <c r="M19" s="239"/>
      <c r="N19" s="239">
        <f t="shared" ref="N19:N37" si="0">SUM(B19:M19)</f>
        <v>0</v>
      </c>
    </row>
    <row r="20" spans="1:14" x14ac:dyDescent="0.25">
      <c r="A20" s="256"/>
      <c r="B20" s="239"/>
      <c r="C20" s="228"/>
      <c r="D20" s="239"/>
      <c r="E20" s="239"/>
      <c r="F20" s="228"/>
      <c r="G20" s="228"/>
      <c r="H20" s="239"/>
      <c r="I20" s="239"/>
      <c r="J20" s="239"/>
      <c r="K20" s="239"/>
      <c r="L20" s="239"/>
      <c r="M20" s="239"/>
      <c r="N20" s="239">
        <f t="shared" si="0"/>
        <v>0</v>
      </c>
    </row>
    <row r="21" spans="1:14" x14ac:dyDescent="0.25">
      <c r="A21" s="256"/>
      <c r="B21" s="239"/>
      <c r="C21" s="228"/>
      <c r="D21" s="239"/>
      <c r="E21" s="239"/>
      <c r="F21" s="228"/>
      <c r="G21" s="228"/>
      <c r="H21" s="239"/>
      <c r="I21" s="239"/>
      <c r="J21" s="239"/>
      <c r="K21" s="239"/>
      <c r="L21" s="239"/>
      <c r="M21" s="239"/>
      <c r="N21" s="239">
        <f t="shared" si="0"/>
        <v>0</v>
      </c>
    </row>
    <row r="22" spans="1:14" x14ac:dyDescent="0.25">
      <c r="A22" s="256"/>
      <c r="B22" s="239"/>
      <c r="C22" s="228"/>
      <c r="D22" s="239"/>
      <c r="E22" s="239"/>
      <c r="F22" s="228"/>
      <c r="G22" s="228"/>
      <c r="H22" s="239"/>
      <c r="I22" s="239"/>
      <c r="J22" s="239"/>
      <c r="K22" s="239"/>
      <c r="L22" s="239"/>
      <c r="M22" s="239"/>
      <c r="N22" s="239">
        <f t="shared" si="0"/>
        <v>0</v>
      </c>
    </row>
    <row r="23" spans="1:14" x14ac:dyDescent="0.25">
      <c r="A23" s="256"/>
      <c r="B23" s="239"/>
      <c r="C23" s="228"/>
      <c r="D23" s="239"/>
      <c r="E23" s="239"/>
      <c r="F23" s="228"/>
      <c r="G23" s="228"/>
      <c r="H23" s="239"/>
      <c r="I23" s="239"/>
      <c r="J23" s="239"/>
      <c r="K23" s="239"/>
      <c r="L23" s="239"/>
      <c r="M23" s="239"/>
      <c r="N23" s="239">
        <f t="shared" si="0"/>
        <v>0</v>
      </c>
    </row>
    <row r="24" spans="1:14" x14ac:dyDescent="0.25">
      <c r="A24" s="256"/>
      <c r="B24" s="239"/>
      <c r="C24" s="228"/>
      <c r="D24" s="239"/>
      <c r="E24" s="239"/>
      <c r="F24" s="228"/>
      <c r="G24" s="228"/>
      <c r="H24" s="239"/>
      <c r="I24" s="239"/>
      <c r="J24" s="239"/>
      <c r="K24" s="239"/>
      <c r="L24" s="239"/>
      <c r="M24" s="239"/>
      <c r="N24" s="239">
        <f t="shared" si="0"/>
        <v>0</v>
      </c>
    </row>
    <row r="25" spans="1:14" x14ac:dyDescent="0.25">
      <c r="A25" s="256"/>
      <c r="B25" s="239"/>
      <c r="C25" s="228"/>
      <c r="D25" s="239"/>
      <c r="E25" s="239"/>
      <c r="F25" s="228"/>
      <c r="G25" s="228"/>
      <c r="H25" s="239"/>
      <c r="I25" s="239"/>
      <c r="J25" s="239"/>
      <c r="K25" s="239"/>
      <c r="L25" s="239"/>
      <c r="M25" s="239"/>
      <c r="N25" s="239">
        <f t="shared" si="0"/>
        <v>0</v>
      </c>
    </row>
    <row r="26" spans="1:14" x14ac:dyDescent="0.25">
      <c r="A26" s="230"/>
      <c r="B26" s="228"/>
      <c r="C26" s="228"/>
      <c r="D26" s="228"/>
      <c r="E26" s="228"/>
      <c r="F26" s="228"/>
      <c r="G26" s="229"/>
      <c r="H26" s="228"/>
      <c r="I26" s="239"/>
      <c r="J26" s="239"/>
      <c r="K26" s="239"/>
      <c r="L26" s="239"/>
      <c r="M26" s="239"/>
      <c r="N26" s="239">
        <f>SUM(B26:M26)</f>
        <v>0</v>
      </c>
    </row>
    <row r="27" spans="1:14" x14ac:dyDescent="0.25">
      <c r="A27" s="256"/>
      <c r="B27" s="239"/>
      <c r="C27" s="228"/>
      <c r="D27" s="239"/>
      <c r="E27" s="239"/>
      <c r="F27" s="228"/>
      <c r="G27" s="228"/>
      <c r="H27" s="239"/>
      <c r="I27" s="239"/>
      <c r="J27" s="239"/>
      <c r="K27" s="239"/>
      <c r="L27" s="239"/>
      <c r="M27" s="239"/>
      <c r="N27" s="239">
        <f t="shared" si="0"/>
        <v>0</v>
      </c>
    </row>
    <row r="28" spans="1:14" x14ac:dyDescent="0.25">
      <c r="A28" s="256"/>
      <c r="B28" s="239"/>
      <c r="C28" s="228"/>
      <c r="D28" s="239"/>
      <c r="E28" s="239"/>
      <c r="F28" s="228"/>
      <c r="G28" s="228"/>
      <c r="H28" s="239"/>
      <c r="I28" s="239"/>
      <c r="J28" s="239"/>
      <c r="K28" s="239"/>
      <c r="L28" s="239"/>
      <c r="M28" s="239"/>
      <c r="N28" s="239">
        <f t="shared" si="0"/>
        <v>0</v>
      </c>
    </row>
    <row r="29" spans="1:14" x14ac:dyDescent="0.25">
      <c r="A29" s="256"/>
      <c r="B29" s="239"/>
      <c r="C29" s="228"/>
      <c r="D29" s="239"/>
      <c r="E29" s="239"/>
      <c r="F29" s="228"/>
      <c r="G29" s="228"/>
      <c r="H29" s="239"/>
      <c r="I29" s="239"/>
      <c r="J29" s="239"/>
      <c r="K29" s="239"/>
      <c r="L29" s="239"/>
      <c r="M29" s="239"/>
      <c r="N29" s="239">
        <f t="shared" si="0"/>
        <v>0</v>
      </c>
    </row>
    <row r="30" spans="1:14" x14ac:dyDescent="0.25">
      <c r="A30" s="256"/>
      <c r="B30" s="239"/>
      <c r="C30" s="228"/>
      <c r="D30" s="239"/>
      <c r="E30" s="239"/>
      <c r="F30" s="228"/>
      <c r="G30" s="228"/>
      <c r="H30" s="239"/>
      <c r="I30" s="239"/>
      <c r="J30" s="239"/>
      <c r="K30" s="239"/>
      <c r="L30" s="239"/>
      <c r="M30" s="239"/>
      <c r="N30" s="239">
        <f t="shared" si="0"/>
        <v>0</v>
      </c>
    </row>
    <row r="31" spans="1:14" x14ac:dyDescent="0.25">
      <c r="A31" s="256"/>
      <c r="B31" s="239"/>
      <c r="C31" s="228"/>
      <c r="D31" s="239"/>
      <c r="E31" s="239"/>
      <c r="F31" s="228"/>
      <c r="G31" s="228"/>
      <c r="H31" s="239"/>
      <c r="I31" s="239"/>
      <c r="J31" s="239"/>
      <c r="K31" s="239"/>
      <c r="L31" s="239"/>
      <c r="M31" s="239"/>
      <c r="N31" s="239">
        <f t="shared" si="0"/>
        <v>0</v>
      </c>
    </row>
    <row r="32" spans="1:14" x14ac:dyDescent="0.25">
      <c r="A32" s="256"/>
      <c r="B32" s="239"/>
      <c r="C32" s="228"/>
      <c r="D32" s="239"/>
      <c r="E32" s="239"/>
      <c r="F32" s="228"/>
      <c r="G32" s="228"/>
      <c r="H32" s="239"/>
      <c r="I32" s="239"/>
      <c r="J32" s="239"/>
      <c r="K32" s="239"/>
      <c r="L32" s="239"/>
      <c r="M32" s="239"/>
      <c r="N32" s="239">
        <f t="shared" si="0"/>
        <v>0</v>
      </c>
    </row>
    <row r="33" spans="1:14" x14ac:dyDescent="0.25">
      <c r="A33" s="256"/>
      <c r="B33" s="239"/>
      <c r="C33" s="228"/>
      <c r="D33" s="239"/>
      <c r="E33" s="239"/>
      <c r="F33" s="228"/>
      <c r="G33" s="228"/>
      <c r="H33" s="239"/>
      <c r="I33" s="239"/>
      <c r="J33" s="239"/>
      <c r="K33" s="239"/>
      <c r="L33" s="239"/>
      <c r="M33" s="239"/>
      <c r="N33" s="239">
        <f t="shared" si="0"/>
        <v>0</v>
      </c>
    </row>
    <row r="34" spans="1:14" x14ac:dyDescent="0.25">
      <c r="A34" s="256"/>
      <c r="B34" s="239"/>
      <c r="C34" s="228"/>
      <c r="D34" s="239"/>
      <c r="E34" s="239"/>
      <c r="F34" s="228"/>
      <c r="G34" s="228"/>
      <c r="H34" s="239"/>
      <c r="I34" s="239"/>
      <c r="J34" s="239"/>
      <c r="K34" s="239"/>
      <c r="L34" s="239"/>
      <c r="M34" s="239"/>
      <c r="N34" s="239">
        <f t="shared" si="0"/>
        <v>0</v>
      </c>
    </row>
    <row r="35" spans="1:14" x14ac:dyDescent="0.25">
      <c r="A35" s="256"/>
      <c r="B35" s="239"/>
      <c r="C35" s="228"/>
      <c r="D35" s="239"/>
      <c r="E35" s="239"/>
      <c r="F35" s="228"/>
      <c r="G35" s="228"/>
      <c r="H35" s="239"/>
      <c r="I35" s="239"/>
      <c r="J35" s="239"/>
      <c r="K35" s="239"/>
      <c r="L35" s="239"/>
      <c r="M35" s="239"/>
      <c r="N35" s="239">
        <f t="shared" si="0"/>
        <v>0</v>
      </c>
    </row>
    <row r="36" spans="1:14" x14ac:dyDescent="0.25">
      <c r="A36" s="256"/>
      <c r="B36" s="239"/>
      <c r="C36" s="228"/>
      <c r="D36" s="239"/>
      <c r="E36" s="239"/>
      <c r="F36" s="228"/>
      <c r="G36" s="228"/>
      <c r="H36" s="239"/>
      <c r="I36" s="239"/>
      <c r="J36" s="239"/>
      <c r="K36" s="239"/>
      <c r="L36" s="239"/>
      <c r="M36" s="239"/>
      <c r="N36" s="239">
        <f t="shared" si="0"/>
        <v>0</v>
      </c>
    </row>
    <row r="37" spans="1:14" x14ac:dyDescent="0.25">
      <c r="A37" s="256"/>
      <c r="B37" s="239"/>
      <c r="C37" s="228"/>
      <c r="D37" s="239"/>
      <c r="E37" s="239"/>
      <c r="F37" s="228"/>
      <c r="G37" s="228"/>
      <c r="H37" s="239"/>
      <c r="I37" s="239"/>
      <c r="J37" s="239"/>
      <c r="K37" s="239"/>
      <c r="L37" s="239"/>
      <c r="M37" s="239"/>
      <c r="N37" s="239">
        <f t="shared" si="0"/>
        <v>0</v>
      </c>
    </row>
    <row r="38" spans="1:14" x14ac:dyDescent="0.25">
      <c r="A38" s="243" t="s">
        <v>98</v>
      </c>
      <c r="B38" s="257">
        <f>SUM(B3:B37)</f>
        <v>1956</v>
      </c>
      <c r="C38" s="241">
        <f>SUM(C3:C37)</f>
        <v>44800</v>
      </c>
      <c r="D38" s="257">
        <f>SUM(D3:D37)</f>
        <v>0</v>
      </c>
      <c r="E38" s="257">
        <f>SUM(E3:E37)</f>
        <v>0</v>
      </c>
      <c r="F38" s="257">
        <f>SUM(F3:F37)</f>
        <v>0</v>
      </c>
      <c r="G38" s="257">
        <f>SUM(G3:G37)</f>
        <v>0</v>
      </c>
      <c r="H38" s="257">
        <f>SUM(H3:H37)</f>
        <v>0</v>
      </c>
      <c r="I38" s="257">
        <f>SUM(I3:I37)</f>
        <v>0</v>
      </c>
      <c r="J38" s="257">
        <f>SUM(J3:J37)</f>
        <v>0</v>
      </c>
      <c r="K38" s="257">
        <f>SUM(K3:K37)</f>
        <v>0</v>
      </c>
      <c r="L38" s="257">
        <f>SUM(L3:L37)</f>
        <v>0</v>
      </c>
      <c r="M38" s="257">
        <f>SUM(M3:M37)</f>
        <v>0</v>
      </c>
      <c r="N38" s="257">
        <f>SUM(N3:N37)</f>
        <v>46756</v>
      </c>
    </row>
    <row r="40" spans="1:14" x14ac:dyDescent="0.25">
      <c r="N40" s="249">
        <f>SUM(B38:M38)-N38</f>
        <v>0</v>
      </c>
    </row>
  </sheetData>
  <phoneticPr fontId="21" type="noConversion"/>
  <pageMargins left="0.25" right="0.25" top="0.75" bottom="0.75" header="0.3" footer="0.3"/>
  <pageSetup paperSize="9" scale="81" firstPageNumber="42949672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499984740745262"/>
    <pageSetUpPr fitToPage="1"/>
  </sheetPr>
  <dimension ref="A1:N51"/>
  <sheetViews>
    <sheetView topLeftCell="A16" workbookViewId="0">
      <selection activeCell="G11" sqref="G11"/>
    </sheetView>
  </sheetViews>
  <sheetFormatPr defaultRowHeight="15" x14ac:dyDescent="0.25"/>
  <cols>
    <col min="1" max="1" width="33.140625" bestFit="1" customWidth="1"/>
    <col min="2" max="2" width="12.85546875" bestFit="1" customWidth="1"/>
    <col min="3" max="3" width="8" customWidth="1"/>
    <col min="4" max="4" width="8.28515625" customWidth="1"/>
    <col min="5" max="5" width="8" customWidth="1"/>
    <col min="6" max="6" width="8.28515625" customWidth="1"/>
    <col min="7" max="7" width="8" customWidth="1"/>
    <col min="14" max="14" width="14.5703125" style="97" bestFit="1" customWidth="1"/>
  </cols>
  <sheetData>
    <row r="1" spans="1:14" x14ac:dyDescent="0.25">
      <c r="A1" s="243" t="s">
        <v>127</v>
      </c>
      <c r="B1" s="250"/>
      <c r="C1" s="250"/>
      <c r="D1" s="250"/>
      <c r="E1" s="250"/>
      <c r="F1" s="216"/>
      <c r="G1" s="216" t="str">
        <f>'ВСЕ затраты'!B1</f>
        <v>2023-2024гг.</v>
      </c>
      <c r="H1" s="250"/>
      <c r="I1" s="250"/>
      <c r="J1" s="250"/>
      <c r="K1" s="250"/>
      <c r="L1" s="250"/>
      <c r="M1" s="250"/>
      <c r="N1" s="295"/>
    </row>
    <row r="2" spans="1:14" x14ac:dyDescent="0.25">
      <c r="A2" s="244"/>
      <c r="B2" s="265" t="s">
        <v>4</v>
      </c>
      <c r="C2" s="265" t="s">
        <v>5</v>
      </c>
      <c r="D2" s="265" t="s">
        <v>6</v>
      </c>
      <c r="E2" s="266" t="s">
        <v>7</v>
      </c>
      <c r="F2" s="265" t="s">
        <v>8</v>
      </c>
      <c r="G2" s="266" t="s">
        <v>9</v>
      </c>
      <c r="H2" s="265" t="s">
        <v>14</v>
      </c>
      <c r="I2" s="266" t="s">
        <v>15</v>
      </c>
      <c r="J2" s="265" t="s">
        <v>16</v>
      </c>
      <c r="K2" s="265" t="s">
        <v>17</v>
      </c>
      <c r="L2" s="265" t="s">
        <v>18</v>
      </c>
      <c r="M2" s="265" t="s">
        <v>19</v>
      </c>
      <c r="N2" s="296"/>
    </row>
    <row r="3" spans="1:14" x14ac:dyDescent="0.25">
      <c r="A3" s="250"/>
      <c r="B3" s="237"/>
      <c r="C3" s="237"/>
      <c r="D3" s="237"/>
      <c r="E3" s="238"/>
      <c r="F3" s="237"/>
      <c r="G3" s="238"/>
      <c r="H3" s="237"/>
      <c r="I3" s="238"/>
      <c r="J3" s="237"/>
      <c r="K3" s="237"/>
      <c r="L3" s="237"/>
      <c r="M3" s="237"/>
      <c r="N3" s="278"/>
    </row>
    <row r="4" spans="1:14" x14ac:dyDescent="0.25">
      <c r="A4" s="293" t="s">
        <v>127</v>
      </c>
      <c r="B4" s="299">
        <v>224752.22</v>
      </c>
      <c r="C4" s="239">
        <v>116019.75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78">
        <f t="shared" ref="N4:N9" si="0">SUM(B4:M4)</f>
        <v>340771.97</v>
      </c>
    </row>
    <row r="5" spans="1:14" x14ac:dyDescent="0.25">
      <c r="A5" s="293" t="s">
        <v>128</v>
      </c>
      <c r="B5" s="299">
        <f>-4050-2380-10317.62</f>
        <v>-16747.620000000003</v>
      </c>
      <c r="C5" s="239">
        <f>-2380</f>
        <v>-2380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78">
        <f t="shared" si="0"/>
        <v>-19127.620000000003</v>
      </c>
    </row>
    <row r="6" spans="1:14" x14ac:dyDescent="0.25">
      <c r="A6" s="239" t="s">
        <v>180</v>
      </c>
      <c r="B6" s="239"/>
      <c r="C6" s="239">
        <v>36696.6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78">
        <f t="shared" si="0"/>
        <v>36696.6</v>
      </c>
    </row>
    <row r="7" spans="1:14" x14ac:dyDescent="0.25">
      <c r="A7" s="239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76">
        <f t="shared" si="0"/>
        <v>0</v>
      </c>
    </row>
    <row r="8" spans="1:14" x14ac:dyDescent="0.25">
      <c r="A8" s="239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76">
        <f t="shared" si="0"/>
        <v>0</v>
      </c>
    </row>
    <row r="9" spans="1:14" x14ac:dyDescent="0.25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76">
        <f t="shared" si="0"/>
        <v>0</v>
      </c>
    </row>
    <row r="10" spans="1:14" x14ac:dyDescent="0.25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76">
        <f t="shared" ref="N10:N48" si="1">SUM(B10:M10)</f>
        <v>0</v>
      </c>
    </row>
    <row r="11" spans="1:14" x14ac:dyDescent="0.25">
      <c r="A11" s="256"/>
      <c r="B11" s="237"/>
      <c r="C11" s="237"/>
      <c r="D11" s="237"/>
      <c r="E11" s="238"/>
      <c r="F11" s="237"/>
      <c r="G11" s="238"/>
      <c r="H11" s="237"/>
      <c r="I11" s="238"/>
      <c r="J11" s="237"/>
      <c r="K11" s="237"/>
      <c r="L11" s="237"/>
      <c r="M11" s="237"/>
      <c r="N11" s="278">
        <f t="shared" si="1"/>
        <v>0</v>
      </c>
    </row>
    <row r="12" spans="1:14" x14ac:dyDescent="0.25">
      <c r="A12" s="250"/>
      <c r="B12" s="237"/>
      <c r="C12" s="237"/>
      <c r="D12" s="237"/>
      <c r="E12" s="238"/>
      <c r="F12" s="237"/>
      <c r="G12" s="238"/>
      <c r="H12" s="237"/>
      <c r="I12" s="238"/>
      <c r="J12" s="237"/>
      <c r="K12" s="237"/>
      <c r="L12" s="237"/>
      <c r="M12" s="237"/>
      <c r="N12" s="278">
        <f t="shared" si="1"/>
        <v>0</v>
      </c>
    </row>
    <row r="13" spans="1:14" x14ac:dyDescent="0.25">
      <c r="A13" s="250"/>
      <c r="B13" s="237"/>
      <c r="C13" s="237"/>
      <c r="D13" s="237"/>
      <c r="E13" s="238"/>
      <c r="F13" s="237"/>
      <c r="G13" s="238"/>
      <c r="H13" s="237"/>
      <c r="I13" s="238"/>
      <c r="J13" s="237"/>
      <c r="K13" s="237"/>
      <c r="L13" s="237"/>
      <c r="M13" s="237"/>
      <c r="N13" s="278">
        <f t="shared" si="1"/>
        <v>0</v>
      </c>
    </row>
    <row r="14" spans="1:14" x14ac:dyDescent="0.25">
      <c r="A14" s="256"/>
      <c r="B14" s="239"/>
      <c r="C14" s="239"/>
      <c r="D14" s="239"/>
      <c r="E14" s="240"/>
      <c r="F14" s="239"/>
      <c r="G14" s="240"/>
      <c r="H14" s="239"/>
      <c r="I14" s="240"/>
      <c r="J14" s="239"/>
      <c r="K14" s="239"/>
      <c r="L14" s="239"/>
      <c r="M14" s="239"/>
      <c r="N14" s="278">
        <f t="shared" si="1"/>
        <v>0</v>
      </c>
    </row>
    <row r="15" spans="1:14" x14ac:dyDescent="0.25">
      <c r="A15" s="250"/>
      <c r="B15" s="239"/>
      <c r="C15" s="239"/>
      <c r="D15" s="239"/>
      <c r="E15" s="240"/>
      <c r="F15" s="239"/>
      <c r="G15" s="240"/>
      <c r="H15" s="239"/>
      <c r="I15" s="240"/>
      <c r="J15" s="239"/>
      <c r="K15" s="239"/>
      <c r="L15" s="239"/>
      <c r="M15" s="239"/>
      <c r="N15" s="278">
        <f t="shared" si="1"/>
        <v>0</v>
      </c>
    </row>
    <row r="16" spans="1:14" x14ac:dyDescent="0.25">
      <c r="A16" s="250"/>
      <c r="B16" s="239"/>
      <c r="C16" s="239"/>
      <c r="D16" s="239"/>
      <c r="E16" s="240"/>
      <c r="F16" s="239"/>
      <c r="G16" s="240"/>
      <c r="H16" s="239"/>
      <c r="I16" s="240"/>
      <c r="J16" s="239"/>
      <c r="K16" s="239"/>
      <c r="L16" s="239"/>
      <c r="M16" s="239"/>
      <c r="N16" s="278">
        <f t="shared" si="1"/>
        <v>0</v>
      </c>
    </row>
    <row r="17" spans="1:14" x14ac:dyDescent="0.25">
      <c r="A17" s="250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78">
        <f t="shared" si="1"/>
        <v>0</v>
      </c>
    </row>
    <row r="18" spans="1:14" x14ac:dyDescent="0.25">
      <c r="A18" s="250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78">
        <f t="shared" si="1"/>
        <v>0</v>
      </c>
    </row>
    <row r="19" spans="1:14" x14ac:dyDescent="0.25">
      <c r="A19" s="250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78">
        <f t="shared" si="1"/>
        <v>0</v>
      </c>
    </row>
    <row r="20" spans="1:14" x14ac:dyDescent="0.25">
      <c r="A20" s="250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78">
        <f t="shared" si="1"/>
        <v>0</v>
      </c>
    </row>
    <row r="21" spans="1:14" x14ac:dyDescent="0.25">
      <c r="A21" s="250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78">
        <f t="shared" si="1"/>
        <v>0</v>
      </c>
    </row>
    <row r="22" spans="1:14" x14ac:dyDescent="0.25">
      <c r="A22" s="250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78">
        <f t="shared" si="1"/>
        <v>0</v>
      </c>
    </row>
    <row r="23" spans="1:14" x14ac:dyDescent="0.25">
      <c r="A23" s="250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78">
        <f t="shared" si="1"/>
        <v>0</v>
      </c>
    </row>
    <row r="24" spans="1:14" x14ac:dyDescent="0.25">
      <c r="A24" s="250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78">
        <f t="shared" si="1"/>
        <v>0</v>
      </c>
    </row>
    <row r="25" spans="1:14" x14ac:dyDescent="0.25">
      <c r="A25" s="250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78">
        <f t="shared" si="1"/>
        <v>0</v>
      </c>
    </row>
    <row r="26" spans="1:14" x14ac:dyDescent="0.25">
      <c r="A26" s="250"/>
      <c r="B26" s="228"/>
      <c r="C26" s="239"/>
      <c r="D26" s="228"/>
      <c r="E26" s="239"/>
      <c r="F26" s="239"/>
      <c r="G26" s="239"/>
      <c r="H26" s="239"/>
      <c r="I26" s="239"/>
      <c r="J26" s="239"/>
      <c r="K26" s="239"/>
      <c r="L26" s="239"/>
      <c r="M26" s="239"/>
      <c r="N26" s="278">
        <f t="shared" si="1"/>
        <v>0</v>
      </c>
    </row>
    <row r="27" spans="1:14" x14ac:dyDescent="0.25">
      <c r="A27" s="256"/>
      <c r="B27" s="228"/>
      <c r="C27" s="239"/>
      <c r="D27" s="228"/>
      <c r="E27" s="239"/>
      <c r="F27" s="239"/>
      <c r="G27" s="239"/>
      <c r="H27" s="239"/>
      <c r="I27" s="239"/>
      <c r="J27" s="239"/>
      <c r="K27" s="239"/>
      <c r="L27" s="239"/>
      <c r="M27" s="239"/>
      <c r="N27" s="278">
        <f t="shared" si="1"/>
        <v>0</v>
      </c>
    </row>
    <row r="28" spans="1:14" x14ac:dyDescent="0.25">
      <c r="A28" s="250"/>
      <c r="B28" s="228"/>
      <c r="C28" s="239"/>
      <c r="D28" s="228"/>
      <c r="E28" s="239"/>
      <c r="F28" s="239"/>
      <c r="G28" s="239"/>
      <c r="H28" s="239"/>
      <c r="I28" s="239"/>
      <c r="J28" s="239"/>
      <c r="K28" s="239"/>
      <c r="L28" s="239"/>
      <c r="M28" s="239"/>
      <c r="N28" s="278">
        <f t="shared" si="1"/>
        <v>0</v>
      </c>
    </row>
    <row r="29" spans="1:14" x14ac:dyDescent="0.25">
      <c r="A29" s="250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78">
        <f t="shared" si="1"/>
        <v>0</v>
      </c>
    </row>
    <row r="30" spans="1:14" x14ac:dyDescent="0.25">
      <c r="A30" s="250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78">
        <f t="shared" si="1"/>
        <v>0</v>
      </c>
    </row>
    <row r="31" spans="1:14" x14ac:dyDescent="0.25">
      <c r="A31" s="250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78">
        <f t="shared" si="1"/>
        <v>0</v>
      </c>
    </row>
    <row r="32" spans="1:14" x14ac:dyDescent="0.25">
      <c r="A32" s="250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78">
        <f t="shared" si="1"/>
        <v>0</v>
      </c>
    </row>
    <row r="33" spans="1:14" x14ac:dyDescent="0.25">
      <c r="A33" s="250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78">
        <f t="shared" si="1"/>
        <v>0</v>
      </c>
    </row>
    <row r="34" spans="1:14" x14ac:dyDescent="0.25">
      <c r="A34" s="250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78">
        <f t="shared" si="1"/>
        <v>0</v>
      </c>
    </row>
    <row r="35" spans="1:14" x14ac:dyDescent="0.25">
      <c r="A35" s="250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78">
        <f t="shared" si="1"/>
        <v>0</v>
      </c>
    </row>
    <row r="36" spans="1:14" x14ac:dyDescent="0.25">
      <c r="A36" s="250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78">
        <f t="shared" si="1"/>
        <v>0</v>
      </c>
    </row>
    <row r="37" spans="1:14" x14ac:dyDescent="0.25">
      <c r="A37" s="250"/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78">
        <f t="shared" si="1"/>
        <v>0</v>
      </c>
    </row>
    <row r="38" spans="1:14" x14ac:dyDescent="0.25">
      <c r="A38" s="250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78">
        <f t="shared" si="1"/>
        <v>0</v>
      </c>
    </row>
    <row r="39" spans="1:14" x14ac:dyDescent="0.25">
      <c r="A39" s="250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78">
        <f t="shared" si="1"/>
        <v>0</v>
      </c>
    </row>
    <row r="40" spans="1:14" x14ac:dyDescent="0.25">
      <c r="A40" s="250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78">
        <f t="shared" si="1"/>
        <v>0</v>
      </c>
    </row>
    <row r="41" spans="1:14" x14ac:dyDescent="0.25">
      <c r="A41" s="250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78">
        <f t="shared" si="1"/>
        <v>0</v>
      </c>
    </row>
    <row r="42" spans="1:14" x14ac:dyDescent="0.25">
      <c r="A42" s="250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78">
        <f t="shared" si="1"/>
        <v>0</v>
      </c>
    </row>
    <row r="43" spans="1:14" x14ac:dyDescent="0.25">
      <c r="A43" s="250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78">
        <f t="shared" si="1"/>
        <v>0</v>
      </c>
    </row>
    <row r="44" spans="1:14" x14ac:dyDescent="0.25">
      <c r="A44" s="250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78">
        <f t="shared" si="1"/>
        <v>0</v>
      </c>
    </row>
    <row r="45" spans="1:14" x14ac:dyDescent="0.25">
      <c r="A45" s="250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78">
        <f t="shared" si="1"/>
        <v>0</v>
      </c>
    </row>
    <row r="46" spans="1:14" x14ac:dyDescent="0.25">
      <c r="A46" s="250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78">
        <f t="shared" si="1"/>
        <v>0</v>
      </c>
    </row>
    <row r="47" spans="1:14" x14ac:dyDescent="0.25">
      <c r="A47" s="250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78">
        <f t="shared" si="1"/>
        <v>0</v>
      </c>
    </row>
    <row r="48" spans="1:14" x14ac:dyDescent="0.25">
      <c r="A48" s="250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78">
        <f t="shared" si="1"/>
        <v>0</v>
      </c>
    </row>
    <row r="49" spans="1:14" x14ac:dyDescent="0.25">
      <c r="A49" s="243" t="s">
        <v>98</v>
      </c>
      <c r="B49" s="257">
        <f>SUM(B4:B48)</f>
        <v>208004.6</v>
      </c>
      <c r="C49" s="257">
        <f t="shared" ref="C49:M49" si="2">SUM(C4:C48)</f>
        <v>150336.35</v>
      </c>
      <c r="D49" s="257">
        <f t="shared" si="2"/>
        <v>0</v>
      </c>
      <c r="E49" s="257">
        <f t="shared" si="2"/>
        <v>0</v>
      </c>
      <c r="F49" s="257">
        <f t="shared" si="2"/>
        <v>0</v>
      </c>
      <c r="G49" s="257">
        <f t="shared" si="2"/>
        <v>0</v>
      </c>
      <c r="H49" s="257">
        <f t="shared" si="2"/>
        <v>0</v>
      </c>
      <c r="I49" s="257">
        <f t="shared" si="2"/>
        <v>0</v>
      </c>
      <c r="J49" s="257">
        <f t="shared" si="2"/>
        <v>0</v>
      </c>
      <c r="K49" s="257">
        <f t="shared" si="2"/>
        <v>0</v>
      </c>
      <c r="L49" s="257">
        <f t="shared" si="2"/>
        <v>0</v>
      </c>
      <c r="M49" s="257">
        <f t="shared" si="2"/>
        <v>0</v>
      </c>
      <c r="N49" s="297">
        <f>SUM(N4:N48)</f>
        <v>358340.94999999995</v>
      </c>
    </row>
    <row r="51" spans="1:14" x14ac:dyDescent="0.25">
      <c r="N51" s="97">
        <f>SUM(B49:M49)-N49</f>
        <v>0</v>
      </c>
    </row>
  </sheetData>
  <phoneticPr fontId="21" type="noConversion"/>
  <pageMargins left="0.25" right="0.25" top="0.75" bottom="0.75" header="0.3" footer="0.3"/>
  <pageSetup paperSize="9" scale="65" firstPageNumber="42949672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1" tint="4.9989318521683403E-2"/>
    <pageSetUpPr fitToPage="1"/>
  </sheetPr>
  <dimension ref="A1:N40"/>
  <sheetViews>
    <sheetView topLeftCell="A16" workbookViewId="0">
      <selection activeCell="C7" sqref="C7"/>
    </sheetView>
  </sheetViews>
  <sheetFormatPr defaultRowHeight="15" x14ac:dyDescent="0.25"/>
  <cols>
    <col min="1" max="1" width="29.42578125" bestFit="1" customWidth="1"/>
    <col min="2" max="2" width="11.42578125" style="1" customWidth="1"/>
    <col min="3" max="3" width="10" customWidth="1"/>
    <col min="4" max="4" width="10" style="1" customWidth="1"/>
    <col min="5" max="5" width="9.42578125" customWidth="1"/>
    <col min="6" max="6" width="11.5703125" customWidth="1"/>
  </cols>
  <sheetData>
    <row r="1" spans="1:14" x14ac:dyDescent="0.25">
      <c r="A1" s="243" t="s">
        <v>95</v>
      </c>
      <c r="B1" s="215"/>
      <c r="C1" s="250"/>
      <c r="D1" s="215"/>
      <c r="E1" s="250"/>
      <c r="F1" s="216"/>
      <c r="G1" s="216" t="str">
        <f>'ВСЕ затраты'!B1</f>
        <v>2023-2024гг.</v>
      </c>
      <c r="H1" s="243"/>
      <c r="I1" s="250"/>
      <c r="J1" s="250"/>
      <c r="K1" s="250"/>
      <c r="L1" s="250"/>
      <c r="M1" s="250"/>
      <c r="N1" s="244"/>
    </row>
    <row r="2" spans="1:14" x14ac:dyDescent="0.25">
      <c r="A2" s="244"/>
      <c r="B2" s="219" t="s">
        <v>4</v>
      </c>
      <c r="C2" s="219" t="s">
        <v>5</v>
      </c>
      <c r="D2" s="220" t="s">
        <v>6</v>
      </c>
      <c r="E2" s="219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98</v>
      </c>
    </row>
    <row r="3" spans="1:14" x14ac:dyDescent="0.25">
      <c r="A3" s="250"/>
      <c r="B3" s="224"/>
      <c r="C3" s="237"/>
      <c r="D3" s="224"/>
      <c r="E3" s="238"/>
      <c r="F3" s="237"/>
      <c r="G3" s="238"/>
      <c r="H3" s="237"/>
      <c r="I3" s="238"/>
      <c r="J3" s="237"/>
      <c r="K3" s="237"/>
      <c r="L3" s="237"/>
      <c r="M3" s="237"/>
      <c r="N3" s="237"/>
    </row>
    <row r="4" spans="1:14" x14ac:dyDescent="0.25">
      <c r="A4" s="256" t="s">
        <v>102</v>
      </c>
      <c r="B4" s="228">
        <v>4828</v>
      </c>
      <c r="C4" s="239"/>
      <c r="D4" s="228"/>
      <c r="E4" s="239"/>
      <c r="F4" s="239"/>
      <c r="G4" s="239"/>
      <c r="H4" s="239"/>
      <c r="I4" s="239"/>
      <c r="J4" s="239"/>
      <c r="K4" s="239"/>
      <c r="L4" s="239"/>
      <c r="M4" s="239"/>
      <c r="N4" s="240">
        <f t="shared" ref="N4:N37" si="0">SUM(B4:M4)</f>
        <v>4828</v>
      </c>
    </row>
    <row r="5" spans="1:14" x14ac:dyDescent="0.25">
      <c r="A5" s="250" t="s">
        <v>103</v>
      </c>
      <c r="B5" s="228"/>
      <c r="C5" s="239"/>
      <c r="D5" s="228"/>
      <c r="E5" s="239"/>
      <c r="F5" s="239"/>
      <c r="G5" s="239"/>
      <c r="H5" s="239"/>
      <c r="I5" s="239"/>
      <c r="J5" s="239"/>
      <c r="K5" s="239"/>
      <c r="L5" s="239"/>
      <c r="M5" s="239"/>
      <c r="N5" s="240">
        <f t="shared" si="0"/>
        <v>0</v>
      </c>
    </row>
    <row r="6" spans="1:14" x14ac:dyDescent="0.25">
      <c r="A6" s="250" t="s">
        <v>137</v>
      </c>
      <c r="B6" s="228"/>
      <c r="C6" s="239">
        <f>2914+8742</f>
        <v>11656</v>
      </c>
      <c r="D6" s="228"/>
      <c r="E6" s="239"/>
      <c r="F6" s="239"/>
      <c r="G6" s="239"/>
      <c r="H6" s="239"/>
      <c r="I6" s="239"/>
      <c r="J6" s="239"/>
      <c r="K6" s="239"/>
      <c r="L6" s="239"/>
      <c r="M6" s="239"/>
      <c r="N6" s="240">
        <f t="shared" si="0"/>
        <v>11656</v>
      </c>
    </row>
    <row r="7" spans="1:14" x14ac:dyDescent="0.25">
      <c r="A7" s="250" t="s">
        <v>152</v>
      </c>
      <c r="B7" s="228">
        <v>8304</v>
      </c>
      <c r="C7" s="239">
        <v>11784</v>
      </c>
      <c r="D7" s="228"/>
      <c r="E7" s="239"/>
      <c r="F7" s="239"/>
      <c r="G7" s="239"/>
      <c r="H7" s="239"/>
      <c r="I7" s="239"/>
      <c r="J7" s="239"/>
      <c r="K7" s="239"/>
      <c r="L7" s="239"/>
      <c r="M7" s="239"/>
      <c r="N7" s="240">
        <f t="shared" si="0"/>
        <v>20088</v>
      </c>
    </row>
    <row r="8" spans="1:14" x14ac:dyDescent="0.25">
      <c r="A8" s="250" t="s">
        <v>175</v>
      </c>
      <c r="B8" s="228"/>
      <c r="C8" s="239">
        <v>15000</v>
      </c>
      <c r="D8" s="228"/>
      <c r="E8" s="239"/>
      <c r="F8" s="239"/>
      <c r="G8" s="239"/>
      <c r="H8" s="239"/>
      <c r="I8" s="239"/>
      <c r="J8" s="239"/>
      <c r="K8" s="239"/>
      <c r="L8" s="239"/>
      <c r="M8" s="239"/>
      <c r="N8" s="240">
        <f t="shared" si="0"/>
        <v>15000</v>
      </c>
    </row>
    <row r="9" spans="1:14" x14ac:dyDescent="0.25">
      <c r="A9" s="250"/>
      <c r="B9" s="228"/>
      <c r="C9" s="239"/>
      <c r="D9" s="228"/>
      <c r="E9" s="239"/>
      <c r="F9" s="239"/>
      <c r="G9" s="239"/>
      <c r="H9" s="239"/>
      <c r="I9" s="239"/>
      <c r="J9" s="239"/>
      <c r="K9" s="239"/>
      <c r="L9" s="239"/>
      <c r="M9" s="239"/>
      <c r="N9" s="237">
        <f t="shared" si="0"/>
        <v>0</v>
      </c>
    </row>
    <row r="10" spans="1:14" x14ac:dyDescent="0.25">
      <c r="A10" s="250"/>
      <c r="B10" s="228"/>
      <c r="C10" s="239"/>
      <c r="D10" s="228"/>
      <c r="E10" s="239"/>
      <c r="F10" s="239"/>
      <c r="G10" s="239"/>
      <c r="H10" s="239"/>
      <c r="I10" s="239"/>
      <c r="J10" s="239"/>
      <c r="K10" s="239"/>
      <c r="L10" s="239"/>
      <c r="M10" s="239"/>
      <c r="N10" s="237">
        <f t="shared" si="0"/>
        <v>0</v>
      </c>
    </row>
    <row r="11" spans="1:14" x14ac:dyDescent="0.25">
      <c r="A11" s="250"/>
      <c r="B11" s="228"/>
      <c r="C11" s="239"/>
      <c r="D11" s="228"/>
      <c r="E11" s="239"/>
      <c r="F11" s="239"/>
      <c r="G11" s="239"/>
      <c r="H11" s="239"/>
      <c r="I11" s="239"/>
      <c r="J11" s="239"/>
      <c r="K11" s="239"/>
      <c r="L11" s="239"/>
      <c r="M11" s="239"/>
      <c r="N11" s="237">
        <f t="shared" si="0"/>
        <v>0</v>
      </c>
    </row>
    <row r="12" spans="1:14" x14ac:dyDescent="0.25">
      <c r="A12" s="250"/>
      <c r="B12" s="228"/>
      <c r="C12" s="239"/>
      <c r="D12" s="228"/>
      <c r="E12" s="239"/>
      <c r="F12" s="239"/>
      <c r="G12" s="239"/>
      <c r="H12" s="239"/>
      <c r="I12" s="239"/>
      <c r="J12" s="239"/>
      <c r="K12" s="239"/>
      <c r="L12" s="239"/>
      <c r="M12" s="239"/>
      <c r="N12" s="237">
        <f t="shared" si="0"/>
        <v>0</v>
      </c>
    </row>
    <row r="13" spans="1:14" x14ac:dyDescent="0.25">
      <c r="A13" s="250"/>
      <c r="B13" s="228"/>
      <c r="C13" s="239"/>
      <c r="D13" s="228"/>
      <c r="E13" s="193"/>
      <c r="F13" s="239"/>
      <c r="G13" s="239"/>
      <c r="H13" s="239"/>
      <c r="I13" s="239"/>
      <c r="J13" s="239"/>
      <c r="K13" s="239"/>
      <c r="L13" s="239"/>
      <c r="M13" s="239"/>
      <c r="N13" s="238">
        <f t="shared" si="0"/>
        <v>0</v>
      </c>
    </row>
    <row r="14" spans="1:14" x14ac:dyDescent="0.25">
      <c r="A14" s="256"/>
      <c r="B14" s="228"/>
      <c r="C14" s="239"/>
      <c r="D14" s="228"/>
      <c r="E14" s="239"/>
      <c r="F14" s="239"/>
      <c r="G14" s="239"/>
      <c r="H14" s="239"/>
      <c r="I14" s="239"/>
      <c r="J14" s="239"/>
      <c r="K14" s="239"/>
      <c r="L14" s="239"/>
      <c r="M14" s="239"/>
      <c r="N14" s="238">
        <f t="shared" si="0"/>
        <v>0</v>
      </c>
    </row>
    <row r="15" spans="1:14" x14ac:dyDescent="0.25">
      <c r="A15" s="223"/>
      <c r="B15" s="224"/>
      <c r="C15" s="239"/>
      <c r="D15" s="228"/>
      <c r="E15" s="239"/>
      <c r="F15" s="239"/>
      <c r="G15" s="239"/>
      <c r="H15" s="239"/>
      <c r="I15" s="239"/>
      <c r="J15" s="239"/>
      <c r="K15" s="239"/>
      <c r="L15" s="239"/>
      <c r="M15" s="239"/>
      <c r="N15" s="238">
        <f t="shared" si="0"/>
        <v>0</v>
      </c>
    </row>
    <row r="16" spans="1:14" x14ac:dyDescent="0.25">
      <c r="A16" s="250"/>
      <c r="B16" s="228"/>
      <c r="C16" s="239"/>
      <c r="D16" s="228"/>
      <c r="E16" s="239"/>
      <c r="F16" s="239"/>
      <c r="G16" s="239"/>
      <c r="H16" s="239"/>
      <c r="I16" s="239"/>
      <c r="J16" s="239"/>
      <c r="K16" s="239"/>
      <c r="L16" s="239"/>
      <c r="M16" s="239"/>
      <c r="N16" s="238">
        <f t="shared" si="0"/>
        <v>0</v>
      </c>
    </row>
    <row r="17" spans="1:14" x14ac:dyDescent="0.25">
      <c r="A17" s="256"/>
      <c r="B17" s="228"/>
      <c r="C17" s="239"/>
      <c r="D17" s="228"/>
      <c r="E17" s="239"/>
      <c r="F17" s="239"/>
      <c r="G17" s="239"/>
      <c r="H17" s="239"/>
      <c r="I17" s="239"/>
      <c r="J17" s="239"/>
      <c r="K17" s="239"/>
      <c r="L17" s="239"/>
      <c r="M17" s="239"/>
      <c r="N17" s="238">
        <f t="shared" si="0"/>
        <v>0</v>
      </c>
    </row>
    <row r="18" spans="1:14" x14ac:dyDescent="0.25">
      <c r="A18" s="256"/>
      <c r="B18" s="228"/>
      <c r="C18" s="239"/>
      <c r="D18" s="228"/>
      <c r="E18" s="239"/>
      <c r="F18" s="239"/>
      <c r="G18" s="239"/>
      <c r="H18" s="239"/>
      <c r="I18" s="239"/>
      <c r="J18" s="239"/>
      <c r="K18" s="239"/>
      <c r="L18" s="239"/>
      <c r="M18" s="239"/>
      <c r="N18" s="238">
        <f t="shared" si="0"/>
        <v>0</v>
      </c>
    </row>
    <row r="19" spans="1:14" x14ac:dyDescent="0.25">
      <c r="A19" s="256"/>
      <c r="B19" s="228"/>
      <c r="C19" s="239"/>
      <c r="D19" s="228"/>
      <c r="E19" s="239"/>
      <c r="F19" s="239"/>
      <c r="G19" s="239"/>
      <c r="H19" s="239"/>
      <c r="I19" s="239"/>
      <c r="J19" s="239"/>
      <c r="K19" s="239"/>
      <c r="L19" s="239"/>
      <c r="M19" s="239"/>
      <c r="N19" s="238">
        <f t="shared" si="0"/>
        <v>0</v>
      </c>
    </row>
    <row r="20" spans="1:14" x14ac:dyDescent="0.25">
      <c r="A20" s="256"/>
      <c r="B20" s="228"/>
      <c r="C20" s="239"/>
      <c r="D20" s="228"/>
      <c r="E20" s="239"/>
      <c r="F20" s="239"/>
      <c r="G20" s="239"/>
      <c r="H20" s="239"/>
      <c r="I20" s="239"/>
      <c r="J20" s="239"/>
      <c r="K20" s="239"/>
      <c r="L20" s="239"/>
      <c r="M20" s="239"/>
      <c r="N20" s="238">
        <f t="shared" si="0"/>
        <v>0</v>
      </c>
    </row>
    <row r="21" spans="1:14" x14ac:dyDescent="0.25">
      <c r="A21" s="256"/>
      <c r="B21" s="228"/>
      <c r="C21" s="239"/>
      <c r="D21" s="228"/>
      <c r="E21" s="239"/>
      <c r="F21" s="239"/>
      <c r="G21" s="239"/>
      <c r="H21" s="239"/>
      <c r="I21" s="239"/>
      <c r="J21" s="239"/>
      <c r="K21" s="239"/>
      <c r="L21" s="239"/>
      <c r="M21" s="239"/>
      <c r="N21" s="238">
        <f t="shared" si="0"/>
        <v>0</v>
      </c>
    </row>
    <row r="22" spans="1:14" x14ac:dyDescent="0.25">
      <c r="A22" s="256"/>
      <c r="B22" s="228"/>
      <c r="C22" s="239"/>
      <c r="D22" s="228"/>
      <c r="E22" s="239"/>
      <c r="F22" s="239"/>
      <c r="G22" s="239"/>
      <c r="H22" s="239"/>
      <c r="I22" s="239"/>
      <c r="J22" s="239"/>
      <c r="K22" s="239"/>
      <c r="L22" s="239"/>
      <c r="M22" s="239"/>
      <c r="N22" s="238">
        <f t="shared" si="0"/>
        <v>0</v>
      </c>
    </row>
    <row r="23" spans="1:14" x14ac:dyDescent="0.25">
      <c r="A23" s="256"/>
      <c r="B23" s="228"/>
      <c r="C23" s="239"/>
      <c r="D23" s="228"/>
      <c r="E23" s="239"/>
      <c r="F23" s="239"/>
      <c r="G23" s="239"/>
      <c r="H23" s="239"/>
      <c r="I23" s="239"/>
      <c r="J23" s="239"/>
      <c r="K23" s="239"/>
      <c r="L23" s="239"/>
      <c r="M23" s="239"/>
      <c r="N23" s="238">
        <f t="shared" si="0"/>
        <v>0</v>
      </c>
    </row>
    <row r="24" spans="1:14" x14ac:dyDescent="0.25">
      <c r="A24" s="256"/>
      <c r="B24" s="228"/>
      <c r="C24" s="239"/>
      <c r="D24" s="228"/>
      <c r="E24" s="239"/>
      <c r="F24" s="239"/>
      <c r="G24" s="239"/>
      <c r="H24" s="239"/>
      <c r="I24" s="239"/>
      <c r="J24" s="239"/>
      <c r="K24" s="239"/>
      <c r="L24" s="239"/>
      <c r="M24" s="239"/>
      <c r="N24" s="238">
        <f t="shared" si="0"/>
        <v>0</v>
      </c>
    </row>
    <row r="25" spans="1:14" x14ac:dyDescent="0.25">
      <c r="A25" s="256"/>
      <c r="B25" s="228"/>
      <c r="C25" s="239"/>
      <c r="D25" s="228"/>
      <c r="E25" s="239"/>
      <c r="F25" s="239"/>
      <c r="G25" s="239"/>
      <c r="H25" s="239"/>
      <c r="I25" s="239"/>
      <c r="J25" s="239"/>
      <c r="K25" s="239"/>
      <c r="L25" s="239"/>
      <c r="M25" s="239"/>
      <c r="N25" s="238">
        <f t="shared" si="0"/>
        <v>0</v>
      </c>
    </row>
    <row r="26" spans="1:14" x14ac:dyDescent="0.25">
      <c r="A26" s="256"/>
      <c r="B26" s="228"/>
      <c r="C26" s="239"/>
      <c r="D26" s="228"/>
      <c r="E26" s="239"/>
      <c r="F26" s="239"/>
      <c r="G26" s="239"/>
      <c r="H26" s="239"/>
      <c r="I26" s="239"/>
      <c r="J26" s="239"/>
      <c r="K26" s="239"/>
      <c r="L26" s="239"/>
      <c r="M26" s="239"/>
      <c r="N26" s="238">
        <f t="shared" si="0"/>
        <v>0</v>
      </c>
    </row>
    <row r="27" spans="1:14" x14ac:dyDescent="0.25">
      <c r="A27" s="256"/>
      <c r="B27" s="228"/>
      <c r="C27" s="239"/>
      <c r="D27" s="228"/>
      <c r="E27" s="239"/>
      <c r="F27" s="239"/>
      <c r="G27" s="239"/>
      <c r="H27" s="239"/>
      <c r="I27" s="239"/>
      <c r="J27" s="239"/>
      <c r="K27" s="239"/>
      <c r="L27" s="239"/>
      <c r="M27" s="239"/>
      <c r="N27" s="238">
        <f t="shared" si="0"/>
        <v>0</v>
      </c>
    </row>
    <row r="28" spans="1:14" x14ac:dyDescent="0.25">
      <c r="A28" s="256"/>
      <c r="B28" s="228"/>
      <c r="C28" s="239"/>
      <c r="D28" s="228"/>
      <c r="E28" s="239"/>
      <c r="F28" s="239"/>
      <c r="G28" s="239"/>
      <c r="H28" s="239"/>
      <c r="I28" s="239"/>
      <c r="J28" s="239"/>
      <c r="K28" s="239"/>
      <c r="L28" s="239"/>
      <c r="M28" s="239"/>
      <c r="N28" s="238">
        <f t="shared" si="0"/>
        <v>0</v>
      </c>
    </row>
    <row r="29" spans="1:14" x14ac:dyDescent="0.25">
      <c r="A29" s="256"/>
      <c r="B29" s="228"/>
      <c r="C29" s="239"/>
      <c r="D29" s="228"/>
      <c r="E29" s="239"/>
      <c r="F29" s="239"/>
      <c r="G29" s="239"/>
      <c r="H29" s="239"/>
      <c r="I29" s="239"/>
      <c r="J29" s="239"/>
      <c r="K29" s="239"/>
      <c r="L29" s="239"/>
      <c r="M29" s="239"/>
      <c r="N29" s="238">
        <f t="shared" si="0"/>
        <v>0</v>
      </c>
    </row>
    <row r="30" spans="1:14" x14ac:dyDescent="0.25">
      <c r="A30" s="256"/>
      <c r="B30" s="228"/>
      <c r="C30" s="239"/>
      <c r="D30" s="228"/>
      <c r="E30" s="239"/>
      <c r="F30" s="239"/>
      <c r="G30" s="239"/>
      <c r="H30" s="239"/>
      <c r="I30" s="239"/>
      <c r="J30" s="239"/>
      <c r="K30" s="239"/>
      <c r="L30" s="239"/>
      <c r="M30" s="239"/>
      <c r="N30" s="238">
        <f t="shared" si="0"/>
        <v>0</v>
      </c>
    </row>
    <row r="31" spans="1:14" x14ac:dyDescent="0.25">
      <c r="A31" s="256"/>
      <c r="B31" s="228"/>
      <c r="C31" s="239"/>
      <c r="D31" s="228"/>
      <c r="E31" s="239"/>
      <c r="F31" s="239"/>
      <c r="G31" s="239"/>
      <c r="H31" s="239"/>
      <c r="I31" s="239"/>
      <c r="J31" s="239"/>
      <c r="K31" s="239"/>
      <c r="L31" s="239"/>
      <c r="M31" s="239"/>
      <c r="N31" s="238">
        <f t="shared" si="0"/>
        <v>0</v>
      </c>
    </row>
    <row r="32" spans="1:14" x14ac:dyDescent="0.25">
      <c r="A32" s="256"/>
      <c r="B32" s="228"/>
      <c r="C32" s="239"/>
      <c r="D32" s="228"/>
      <c r="E32" s="239"/>
      <c r="F32" s="239"/>
      <c r="G32" s="239"/>
      <c r="H32" s="239"/>
      <c r="I32" s="239"/>
      <c r="J32" s="239"/>
      <c r="K32" s="239"/>
      <c r="L32" s="239"/>
      <c r="M32" s="239"/>
      <c r="N32" s="238">
        <f t="shared" si="0"/>
        <v>0</v>
      </c>
    </row>
    <row r="33" spans="1:14" x14ac:dyDescent="0.25">
      <c r="A33" s="256"/>
      <c r="B33" s="228"/>
      <c r="C33" s="239"/>
      <c r="D33" s="228"/>
      <c r="E33" s="239"/>
      <c r="F33" s="239"/>
      <c r="G33" s="239"/>
      <c r="H33" s="239"/>
      <c r="I33" s="239"/>
      <c r="J33" s="239"/>
      <c r="K33" s="239"/>
      <c r="L33" s="239"/>
      <c r="M33" s="239"/>
      <c r="N33" s="238">
        <f t="shared" si="0"/>
        <v>0</v>
      </c>
    </row>
    <row r="34" spans="1:14" x14ac:dyDescent="0.25">
      <c r="A34" s="256"/>
      <c r="B34" s="228"/>
      <c r="C34" s="239"/>
      <c r="D34" s="228"/>
      <c r="E34" s="239"/>
      <c r="F34" s="239"/>
      <c r="G34" s="239"/>
      <c r="H34" s="239"/>
      <c r="I34" s="239"/>
      <c r="J34" s="239"/>
      <c r="K34" s="239"/>
      <c r="L34" s="239"/>
      <c r="M34" s="239"/>
      <c r="N34" s="238">
        <f t="shared" si="0"/>
        <v>0</v>
      </c>
    </row>
    <row r="35" spans="1:14" x14ac:dyDescent="0.25">
      <c r="A35" s="256"/>
      <c r="B35" s="228"/>
      <c r="C35" s="239"/>
      <c r="D35" s="228"/>
      <c r="E35" s="239"/>
      <c r="F35" s="239"/>
      <c r="G35" s="239"/>
      <c r="H35" s="239"/>
      <c r="I35" s="239"/>
      <c r="J35" s="239"/>
      <c r="K35" s="239"/>
      <c r="L35" s="239"/>
      <c r="M35" s="239"/>
      <c r="N35" s="238">
        <f t="shared" si="0"/>
        <v>0</v>
      </c>
    </row>
    <row r="36" spans="1:14" x14ac:dyDescent="0.25">
      <c r="A36" s="256"/>
      <c r="B36" s="228"/>
      <c r="C36" s="239"/>
      <c r="D36" s="228"/>
      <c r="E36" s="239"/>
      <c r="F36" s="239"/>
      <c r="G36" s="239"/>
      <c r="H36" s="239"/>
      <c r="I36" s="239"/>
      <c r="J36" s="239"/>
      <c r="K36" s="239"/>
      <c r="L36" s="239"/>
      <c r="M36" s="239"/>
      <c r="N36" s="238">
        <f t="shared" si="0"/>
        <v>0</v>
      </c>
    </row>
    <row r="37" spans="1:14" x14ac:dyDescent="0.25">
      <c r="A37" s="256"/>
      <c r="B37" s="228"/>
      <c r="C37" s="239"/>
      <c r="D37" s="228"/>
      <c r="E37" s="239"/>
      <c r="F37" s="239"/>
      <c r="G37" s="239"/>
      <c r="H37" s="239"/>
      <c r="I37" s="239"/>
      <c r="J37" s="239"/>
      <c r="K37" s="239"/>
      <c r="L37" s="239"/>
      <c r="M37" s="239"/>
      <c r="N37" s="238">
        <f t="shared" si="0"/>
        <v>0</v>
      </c>
    </row>
    <row r="38" spans="1:14" x14ac:dyDescent="0.25">
      <c r="A38" s="243" t="s">
        <v>98</v>
      </c>
      <c r="B38" s="241">
        <f t="shared" ref="B38:N38" si="1">SUM(B4:B37)</f>
        <v>13132</v>
      </c>
      <c r="C38" s="241">
        <f t="shared" si="1"/>
        <v>38440</v>
      </c>
      <c r="D38" s="241">
        <f t="shared" si="1"/>
        <v>0</v>
      </c>
      <c r="E38" s="241">
        <f t="shared" si="1"/>
        <v>0</v>
      </c>
      <c r="F38" s="241">
        <f t="shared" si="1"/>
        <v>0</v>
      </c>
      <c r="G38" s="241">
        <f t="shared" si="1"/>
        <v>0</v>
      </c>
      <c r="H38" s="241">
        <f t="shared" si="1"/>
        <v>0</v>
      </c>
      <c r="I38" s="241">
        <f t="shared" si="1"/>
        <v>0</v>
      </c>
      <c r="J38" s="241">
        <f t="shared" si="1"/>
        <v>0</v>
      </c>
      <c r="K38" s="241">
        <f t="shared" si="1"/>
        <v>0</v>
      </c>
      <c r="L38" s="241">
        <f t="shared" si="1"/>
        <v>0</v>
      </c>
      <c r="M38" s="241">
        <f t="shared" si="1"/>
        <v>0</v>
      </c>
      <c r="N38" s="273">
        <f t="shared" si="1"/>
        <v>51572</v>
      </c>
    </row>
    <row r="40" spans="1:14" x14ac:dyDescent="0.25">
      <c r="N40" s="249">
        <f>SUM(B38:M38)-N38</f>
        <v>0</v>
      </c>
    </row>
  </sheetData>
  <phoneticPr fontId="21" type="noConversion"/>
  <pageMargins left="0.25" right="0.25" top="0.75" bottom="0.75" header="0.3" footer="0.3"/>
  <pageSetup paperSize="9" scale="83" firstPageNumber="42949672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-0.499984740745262"/>
    <pageSetUpPr fitToPage="1"/>
  </sheetPr>
  <dimension ref="A1:N66"/>
  <sheetViews>
    <sheetView topLeftCell="A13" workbookViewId="0">
      <selection activeCell="A24" sqref="A24:XFD62"/>
    </sheetView>
  </sheetViews>
  <sheetFormatPr defaultRowHeight="15" x14ac:dyDescent="0.25"/>
  <cols>
    <col min="1" max="1" width="29.85546875" style="95" bestFit="1" customWidth="1"/>
    <col min="2" max="2" width="10.28515625" style="1" customWidth="1"/>
    <col min="3" max="3" width="10.5703125" style="1" customWidth="1"/>
    <col min="4" max="4" width="12" style="1" customWidth="1"/>
    <col min="5" max="5" width="10.5703125" style="1" customWidth="1"/>
    <col min="6" max="7" width="9.140625" style="1"/>
    <col min="8" max="8" width="10.42578125" style="1" bestFit="1" customWidth="1"/>
    <col min="9" max="14" width="9.140625" style="1"/>
  </cols>
  <sheetData>
    <row r="1" spans="1:14" x14ac:dyDescent="0.25">
      <c r="A1" s="214" t="s">
        <v>129</v>
      </c>
      <c r="B1" s="215"/>
      <c r="C1" s="215"/>
      <c r="D1" s="215"/>
      <c r="E1" s="215"/>
      <c r="F1" s="216"/>
      <c r="G1" s="216" t="str">
        <f>'ВСЕ затраты'!B1</f>
        <v>2023-2024гг.</v>
      </c>
      <c r="H1" s="215"/>
      <c r="I1" s="215"/>
      <c r="J1" s="215"/>
      <c r="K1" s="215"/>
      <c r="L1" s="215"/>
      <c r="M1" s="215"/>
      <c r="N1" s="220"/>
    </row>
    <row r="2" spans="1:14" x14ac:dyDescent="0.25">
      <c r="A2" s="218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19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 x14ac:dyDescent="0.25">
      <c r="A3" s="223" t="s">
        <v>130</v>
      </c>
      <c r="B3" s="228"/>
      <c r="C3" s="228">
        <v>983.6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4">
        <f t="shared" ref="N3:N32" si="0">SUM(B3:M3)</f>
        <v>983.6</v>
      </c>
    </row>
    <row r="4" spans="1:14" x14ac:dyDescent="0.25">
      <c r="A4" s="223" t="s">
        <v>131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4">
        <f t="shared" si="0"/>
        <v>0</v>
      </c>
    </row>
    <row r="5" spans="1:14" x14ac:dyDescent="0.25">
      <c r="A5" s="223" t="s">
        <v>132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4">
        <f t="shared" si="0"/>
        <v>0</v>
      </c>
    </row>
    <row r="6" spans="1:14" x14ac:dyDescent="0.25">
      <c r="A6" s="232" t="s">
        <v>150</v>
      </c>
      <c r="B6" s="228">
        <v>42500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4">
        <f t="shared" si="0"/>
        <v>42500</v>
      </c>
    </row>
    <row r="7" spans="1:14" x14ac:dyDescent="0.25">
      <c r="A7" s="232" t="s">
        <v>153</v>
      </c>
      <c r="B7" s="228">
        <v>23000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4">
        <f t="shared" si="0"/>
        <v>23000</v>
      </c>
    </row>
    <row r="8" spans="1:14" x14ac:dyDescent="0.25">
      <c r="A8" s="232" t="s">
        <v>158</v>
      </c>
      <c r="B8" s="228">
        <v>800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4">
        <f t="shared" si="0"/>
        <v>800</v>
      </c>
    </row>
    <row r="9" spans="1:14" x14ac:dyDescent="0.25">
      <c r="A9" s="232" t="s">
        <v>159</v>
      </c>
      <c r="B9" s="228">
        <f>250+750+2500</f>
        <v>3500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4">
        <f t="shared" si="0"/>
        <v>3500</v>
      </c>
    </row>
    <row r="10" spans="1:14" x14ac:dyDescent="0.25">
      <c r="A10" s="232" t="s">
        <v>160</v>
      </c>
      <c r="B10" s="228">
        <v>2400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4">
        <f t="shared" si="0"/>
        <v>2400</v>
      </c>
    </row>
    <row r="11" spans="1:14" x14ac:dyDescent="0.25">
      <c r="A11" s="232" t="s">
        <v>162</v>
      </c>
      <c r="B11" s="228">
        <v>2444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4">
        <f t="shared" si="0"/>
        <v>2444</v>
      </c>
    </row>
    <row r="12" spans="1:14" x14ac:dyDescent="0.25">
      <c r="A12" s="232" t="s">
        <v>163</v>
      </c>
      <c r="B12" s="228">
        <v>2300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4">
        <f t="shared" si="0"/>
        <v>2300</v>
      </c>
    </row>
    <row r="13" spans="1:14" x14ac:dyDescent="0.25">
      <c r="A13" s="230" t="s">
        <v>185</v>
      </c>
      <c r="B13" s="228"/>
      <c r="C13" s="228">
        <v>24400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4">
        <f t="shared" si="0"/>
        <v>24400</v>
      </c>
    </row>
    <row r="14" spans="1:14" ht="26.25" x14ac:dyDescent="0.25">
      <c r="A14" s="230" t="s">
        <v>186</v>
      </c>
      <c r="B14" s="228"/>
      <c r="C14" s="228">
        <v>2642</v>
      </c>
      <c r="D14" s="228"/>
      <c r="E14" s="239"/>
      <c r="F14" s="239"/>
      <c r="G14" s="239"/>
      <c r="H14" s="239"/>
      <c r="I14" s="239"/>
      <c r="J14" s="239"/>
      <c r="K14" s="239"/>
      <c r="L14" s="239"/>
      <c r="M14" s="239"/>
      <c r="N14" s="224">
        <f t="shared" si="0"/>
        <v>2642</v>
      </c>
    </row>
    <row r="15" spans="1:14" x14ac:dyDescent="0.25">
      <c r="A15" s="232" t="s">
        <v>187</v>
      </c>
      <c r="B15" s="228"/>
      <c r="C15" s="228">
        <v>450</v>
      </c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4">
        <f t="shared" si="0"/>
        <v>450</v>
      </c>
    </row>
    <row r="16" spans="1:14" x14ac:dyDescent="0.25">
      <c r="A16" s="232" t="s">
        <v>188</v>
      </c>
      <c r="B16" s="228"/>
      <c r="C16" s="228">
        <v>625</v>
      </c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4">
        <f t="shared" si="0"/>
        <v>625</v>
      </c>
    </row>
    <row r="17" spans="1:14" x14ac:dyDescent="0.25">
      <c r="A17" s="232" t="s">
        <v>189</v>
      </c>
      <c r="B17" s="228"/>
      <c r="C17" s="228">
        <v>2990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4">
        <f t="shared" si="0"/>
        <v>2990</v>
      </c>
    </row>
    <row r="18" spans="1:14" x14ac:dyDescent="0.25">
      <c r="A18" s="232" t="s">
        <v>190</v>
      </c>
      <c r="B18" s="228"/>
      <c r="C18" s="228">
        <v>480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4">
        <f t="shared" si="0"/>
        <v>480</v>
      </c>
    </row>
    <row r="19" spans="1:14" x14ac:dyDescent="0.25">
      <c r="A19" s="232" t="s">
        <v>191</v>
      </c>
      <c r="B19" s="228"/>
      <c r="C19" s="228">
        <v>2430</v>
      </c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4">
        <f t="shared" si="0"/>
        <v>2430</v>
      </c>
    </row>
    <row r="20" spans="1:14" x14ac:dyDescent="0.25">
      <c r="A20" s="271" t="s">
        <v>192</v>
      </c>
      <c r="B20" s="228"/>
      <c r="C20" s="228">
        <v>500</v>
      </c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4">
        <f t="shared" si="0"/>
        <v>500</v>
      </c>
    </row>
    <row r="21" spans="1:14" x14ac:dyDescent="0.25">
      <c r="A21" s="271" t="s">
        <v>193</v>
      </c>
      <c r="B21" s="228"/>
      <c r="C21" s="228">
        <v>820</v>
      </c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4">
        <f t="shared" si="0"/>
        <v>820</v>
      </c>
    </row>
    <row r="22" spans="1:14" x14ac:dyDescent="0.25">
      <c r="A22" s="232" t="s">
        <v>202</v>
      </c>
      <c r="B22" s="228"/>
      <c r="C22" s="228">
        <v>2102</v>
      </c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4">
        <f t="shared" si="0"/>
        <v>2102</v>
      </c>
    </row>
    <row r="23" spans="1:14" x14ac:dyDescent="0.25">
      <c r="A23" s="271" t="s">
        <v>203</v>
      </c>
      <c r="B23" s="228"/>
      <c r="C23" s="228">
        <v>5727</v>
      </c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4">
        <f t="shared" si="0"/>
        <v>5727</v>
      </c>
    </row>
    <row r="24" spans="1:14" x14ac:dyDescent="0.25">
      <c r="A24" s="271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4">
        <f t="shared" si="0"/>
        <v>0</v>
      </c>
    </row>
    <row r="25" spans="1:14" x14ac:dyDescent="0.25">
      <c r="A25" s="271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4">
        <f t="shared" si="0"/>
        <v>0</v>
      </c>
    </row>
    <row r="26" spans="1:14" x14ac:dyDescent="0.25">
      <c r="A26" s="271"/>
      <c r="B26" s="219"/>
      <c r="C26" s="219"/>
      <c r="D26" s="219"/>
      <c r="E26" s="221"/>
      <c r="F26" s="219"/>
      <c r="G26" s="221"/>
      <c r="H26" s="219"/>
      <c r="I26" s="221"/>
      <c r="J26" s="219"/>
      <c r="K26" s="219"/>
      <c r="L26" s="219"/>
      <c r="M26" s="219"/>
      <c r="N26" s="224">
        <f t="shared" si="0"/>
        <v>0</v>
      </c>
    </row>
    <row r="27" spans="1:14" x14ac:dyDescent="0.25">
      <c r="A27" s="271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4">
        <f t="shared" si="0"/>
        <v>0</v>
      </c>
    </row>
    <row r="28" spans="1:14" x14ac:dyDescent="0.25">
      <c r="A28" s="271"/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4">
        <f t="shared" si="0"/>
        <v>0</v>
      </c>
    </row>
    <row r="29" spans="1:14" x14ac:dyDescent="0.25">
      <c r="A29" s="271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4">
        <f t="shared" si="0"/>
        <v>0</v>
      </c>
    </row>
    <row r="30" spans="1:14" x14ac:dyDescent="0.25">
      <c r="A30" s="271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4">
        <f t="shared" si="0"/>
        <v>0</v>
      </c>
    </row>
    <row r="31" spans="1:14" x14ac:dyDescent="0.25">
      <c r="A31" s="271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4">
        <f t="shared" si="0"/>
        <v>0</v>
      </c>
    </row>
    <row r="32" spans="1:14" x14ac:dyDescent="0.25">
      <c r="A32" s="271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4">
        <f t="shared" si="0"/>
        <v>0</v>
      </c>
    </row>
    <row r="33" spans="1:14" x14ac:dyDescent="0.25">
      <c r="A33" s="271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4">
        <f t="shared" ref="N33:N62" si="1">SUM(B33:M33)</f>
        <v>0</v>
      </c>
    </row>
    <row r="34" spans="1:14" x14ac:dyDescent="0.25">
      <c r="A34" s="271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4">
        <f t="shared" si="1"/>
        <v>0</v>
      </c>
    </row>
    <row r="35" spans="1:14" x14ac:dyDescent="0.25">
      <c r="A35" s="271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4">
        <f t="shared" si="1"/>
        <v>0</v>
      </c>
    </row>
    <row r="36" spans="1:14" x14ac:dyDescent="0.25">
      <c r="A36" s="271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4">
        <f t="shared" si="1"/>
        <v>0</v>
      </c>
    </row>
    <row r="37" spans="1:14" x14ac:dyDescent="0.25">
      <c r="A37" s="271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4">
        <f t="shared" si="1"/>
        <v>0</v>
      </c>
    </row>
    <row r="38" spans="1:14" x14ac:dyDescent="0.25">
      <c r="A38" s="271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4">
        <f t="shared" si="1"/>
        <v>0</v>
      </c>
    </row>
    <row r="39" spans="1:14" x14ac:dyDescent="0.25">
      <c r="A39" s="271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4">
        <f t="shared" si="1"/>
        <v>0</v>
      </c>
    </row>
    <row r="40" spans="1:14" x14ac:dyDescent="0.25">
      <c r="A40" s="271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4">
        <f t="shared" si="1"/>
        <v>0</v>
      </c>
    </row>
    <row r="41" spans="1:14" x14ac:dyDescent="0.25">
      <c r="A41" s="271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4">
        <f t="shared" si="1"/>
        <v>0</v>
      </c>
    </row>
    <row r="42" spans="1:14" x14ac:dyDescent="0.25">
      <c r="A42" s="271"/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4">
        <f t="shared" si="1"/>
        <v>0</v>
      </c>
    </row>
    <row r="43" spans="1:14" x14ac:dyDescent="0.25">
      <c r="A43" s="271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4">
        <f t="shared" si="1"/>
        <v>0</v>
      </c>
    </row>
    <row r="44" spans="1:14" x14ac:dyDescent="0.25">
      <c r="A44" s="271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4">
        <f t="shared" si="1"/>
        <v>0</v>
      </c>
    </row>
    <row r="45" spans="1:14" x14ac:dyDescent="0.25">
      <c r="A45" s="271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4">
        <f t="shared" si="1"/>
        <v>0</v>
      </c>
    </row>
    <row r="46" spans="1:14" x14ac:dyDescent="0.25">
      <c r="A46" s="230"/>
      <c r="B46" s="228"/>
      <c r="C46" s="228"/>
      <c r="D46" s="228"/>
      <c r="E46" s="234"/>
      <c r="F46" s="228"/>
      <c r="G46" s="229"/>
      <c r="H46" s="228"/>
      <c r="I46" s="228"/>
      <c r="J46" s="228"/>
      <c r="K46" s="228"/>
      <c r="L46" s="228"/>
      <c r="M46" s="228"/>
      <c r="N46" s="226">
        <f>SUM(B46:M46)</f>
        <v>0</v>
      </c>
    </row>
    <row r="47" spans="1:14" x14ac:dyDescent="0.25">
      <c r="A47" s="230"/>
      <c r="B47" s="228"/>
      <c r="C47" s="228"/>
      <c r="D47" s="228"/>
      <c r="E47" s="234"/>
      <c r="F47" s="228"/>
      <c r="G47" s="229"/>
      <c r="H47" s="228"/>
      <c r="I47" s="228"/>
      <c r="J47" s="228"/>
      <c r="K47" s="228"/>
      <c r="L47" s="228"/>
      <c r="M47" s="228"/>
      <c r="N47" s="226">
        <f>SUM(B47:M47)</f>
        <v>0</v>
      </c>
    </row>
    <row r="48" spans="1:14" x14ac:dyDescent="0.25">
      <c r="A48" s="271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4">
        <f t="shared" si="1"/>
        <v>0</v>
      </c>
    </row>
    <row r="49" spans="1:14" x14ac:dyDescent="0.25">
      <c r="A49" s="230"/>
      <c r="B49" s="228"/>
      <c r="C49" s="228"/>
      <c r="D49" s="228"/>
      <c r="E49" s="228"/>
      <c r="F49" s="228"/>
      <c r="G49" s="229"/>
      <c r="H49" s="228"/>
      <c r="I49" s="228"/>
      <c r="J49" s="228"/>
      <c r="K49" s="228"/>
      <c r="L49" s="228"/>
      <c r="M49" s="228"/>
      <c r="N49" s="226">
        <f>SUM(B49:M49)</f>
        <v>0</v>
      </c>
    </row>
    <row r="50" spans="1:14" x14ac:dyDescent="0.25">
      <c r="A50" s="271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4">
        <f t="shared" si="1"/>
        <v>0</v>
      </c>
    </row>
    <row r="51" spans="1:14" x14ac:dyDescent="0.25">
      <c r="A51" s="271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4">
        <f t="shared" si="1"/>
        <v>0</v>
      </c>
    </row>
    <row r="52" spans="1:14" x14ac:dyDescent="0.25">
      <c r="A52" s="271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4">
        <f t="shared" si="1"/>
        <v>0</v>
      </c>
    </row>
    <row r="53" spans="1:14" x14ac:dyDescent="0.25">
      <c r="A53" s="256"/>
      <c r="B53" s="228"/>
      <c r="C53" s="239"/>
      <c r="D53" s="228"/>
      <c r="E53" s="239"/>
      <c r="F53" s="239"/>
      <c r="G53" s="239"/>
      <c r="H53" s="239"/>
      <c r="I53" s="239"/>
      <c r="J53" s="239"/>
      <c r="K53" s="239"/>
      <c r="L53" s="239"/>
      <c r="M53" s="239"/>
      <c r="N53" s="238">
        <f>SUM(B53:M53)</f>
        <v>0</v>
      </c>
    </row>
    <row r="54" spans="1:14" x14ac:dyDescent="0.25">
      <c r="A54" s="256"/>
      <c r="B54" s="228"/>
      <c r="C54" s="239"/>
      <c r="D54" s="228"/>
      <c r="E54" s="239"/>
      <c r="F54" s="239"/>
      <c r="G54" s="239"/>
      <c r="H54" s="239"/>
      <c r="I54" s="239"/>
      <c r="J54" s="239"/>
      <c r="K54" s="239"/>
      <c r="L54" s="239"/>
      <c r="M54" s="239"/>
      <c r="N54" s="238">
        <f>SUM(B54:M54)</f>
        <v>0</v>
      </c>
    </row>
    <row r="55" spans="1:14" x14ac:dyDescent="0.25">
      <c r="A55" s="271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4">
        <f t="shared" si="1"/>
        <v>0</v>
      </c>
    </row>
    <row r="56" spans="1:14" x14ac:dyDescent="0.25">
      <c r="A56" s="271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4">
        <f t="shared" si="1"/>
        <v>0</v>
      </c>
    </row>
    <row r="57" spans="1:14" x14ac:dyDescent="0.25">
      <c r="A57" s="271"/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4">
        <f t="shared" si="1"/>
        <v>0</v>
      </c>
    </row>
    <row r="58" spans="1:14" x14ac:dyDescent="0.25">
      <c r="A58" s="271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4">
        <f t="shared" si="1"/>
        <v>0</v>
      </c>
    </row>
    <row r="59" spans="1:14" x14ac:dyDescent="0.25">
      <c r="A59" s="271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4">
        <f t="shared" si="1"/>
        <v>0</v>
      </c>
    </row>
    <row r="60" spans="1:14" x14ac:dyDescent="0.25">
      <c r="A60" s="271"/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4">
        <f t="shared" si="1"/>
        <v>0</v>
      </c>
    </row>
    <row r="61" spans="1:14" x14ac:dyDescent="0.25">
      <c r="A61" s="271"/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4">
        <f t="shared" si="1"/>
        <v>0</v>
      </c>
    </row>
    <row r="62" spans="1:14" x14ac:dyDescent="0.25">
      <c r="A62" s="271"/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4">
        <f t="shared" si="1"/>
        <v>0</v>
      </c>
    </row>
    <row r="63" spans="1:14" x14ac:dyDescent="0.25">
      <c r="A63" s="271"/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4">
        <f>SUM(B63:M63)</f>
        <v>0</v>
      </c>
    </row>
    <row r="64" spans="1:14" x14ac:dyDescent="0.25">
      <c r="A64" s="214" t="s">
        <v>98</v>
      </c>
      <c r="B64" s="274">
        <f t="shared" ref="B64:M64" si="2">SUM(B3:B63)</f>
        <v>76944</v>
      </c>
      <c r="C64" s="274">
        <f t="shared" si="2"/>
        <v>44149.599999999999</v>
      </c>
      <c r="D64" s="274">
        <f t="shared" si="2"/>
        <v>0</v>
      </c>
      <c r="E64" s="274">
        <f t="shared" si="2"/>
        <v>0</v>
      </c>
      <c r="F64" s="274">
        <f t="shared" si="2"/>
        <v>0</v>
      </c>
      <c r="G64" s="274">
        <f t="shared" si="2"/>
        <v>0</v>
      </c>
      <c r="H64" s="274">
        <f t="shared" si="2"/>
        <v>0</v>
      </c>
      <c r="I64" s="274">
        <f t="shared" si="2"/>
        <v>0</v>
      </c>
      <c r="J64" s="274">
        <f t="shared" si="2"/>
        <v>0</v>
      </c>
      <c r="K64" s="274">
        <f t="shared" si="2"/>
        <v>0</v>
      </c>
      <c r="L64" s="274">
        <f t="shared" si="2"/>
        <v>0</v>
      </c>
      <c r="M64" s="274">
        <f t="shared" si="2"/>
        <v>0</v>
      </c>
      <c r="N64" s="274">
        <f>SUM(N3:N63)</f>
        <v>121093.6</v>
      </c>
    </row>
    <row r="66" spans="14:14" x14ac:dyDescent="0.25">
      <c r="N66" s="249">
        <f>SUM(B64:M64)-N64</f>
        <v>0</v>
      </c>
    </row>
  </sheetData>
  <phoneticPr fontId="21" type="noConversion"/>
  <pageMargins left="0.25" right="0.25" top="0.75" bottom="0.75" header="0.3" footer="0.3"/>
  <pageSetup paperSize="9" scale="49" firstPageNumber="42949672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7030A0"/>
    <pageSetUpPr fitToPage="1"/>
  </sheetPr>
  <dimension ref="A1:N68"/>
  <sheetViews>
    <sheetView workbookViewId="0">
      <selection activeCell="A6" sqref="A6:XFD6"/>
    </sheetView>
  </sheetViews>
  <sheetFormatPr defaultRowHeight="15" x14ac:dyDescent="0.25"/>
  <cols>
    <col min="1" max="1" width="34.42578125" customWidth="1"/>
    <col min="2" max="2" width="9.7109375" customWidth="1"/>
    <col min="3" max="4" width="10.28515625" bestFit="1" customWidth="1"/>
    <col min="5" max="5" width="12.85546875" bestFit="1" customWidth="1"/>
    <col min="6" max="6" width="10.28515625" bestFit="1" customWidth="1"/>
    <col min="8" max="9" width="10.28515625" bestFit="1" customWidth="1"/>
    <col min="12" max="12" width="9.28515625" bestFit="1" customWidth="1"/>
    <col min="14" max="14" width="12.85546875" bestFit="1" customWidth="1"/>
    <col min="18" max="18" width="10.28515625" bestFit="1" customWidth="1"/>
  </cols>
  <sheetData>
    <row r="1" spans="1:14" x14ac:dyDescent="0.25">
      <c r="A1" s="243" t="s">
        <v>133</v>
      </c>
      <c r="B1" s="250"/>
      <c r="C1" s="250"/>
      <c r="D1" s="250"/>
      <c r="E1" s="250"/>
      <c r="F1" s="243"/>
      <c r="G1" s="216" t="str">
        <f>'ВСЕ затраты'!B1</f>
        <v>2023-2024гг.</v>
      </c>
      <c r="H1" s="250"/>
      <c r="I1" s="250"/>
      <c r="J1" s="250"/>
      <c r="K1" s="250"/>
      <c r="L1" s="250"/>
      <c r="M1" s="250"/>
      <c r="N1" s="244"/>
    </row>
    <row r="2" spans="1:14" x14ac:dyDescent="0.25">
      <c r="A2" s="244"/>
      <c r="B2" s="275" t="s">
        <v>4</v>
      </c>
      <c r="C2" s="275" t="s">
        <v>5</v>
      </c>
      <c r="D2" s="275" t="s">
        <v>6</v>
      </c>
      <c r="E2" s="275" t="s">
        <v>7</v>
      </c>
      <c r="F2" s="275" t="s">
        <v>8</v>
      </c>
      <c r="G2" s="275" t="s">
        <v>9</v>
      </c>
      <c r="H2" s="265" t="s">
        <v>14</v>
      </c>
      <c r="I2" s="266" t="s">
        <v>15</v>
      </c>
      <c r="J2" s="265" t="s">
        <v>16</v>
      </c>
      <c r="K2" s="265" t="s">
        <v>17</v>
      </c>
      <c r="L2" s="265" t="s">
        <v>18</v>
      </c>
      <c r="M2" s="265" t="s">
        <v>19</v>
      </c>
      <c r="N2" s="239"/>
    </row>
    <row r="3" spans="1:14" x14ac:dyDescent="0.25">
      <c r="A3" s="256" t="s">
        <v>172</v>
      </c>
      <c r="B3" s="234"/>
      <c r="C3" s="276">
        <v>206418</v>
      </c>
      <c r="D3" s="234"/>
      <c r="E3" s="276"/>
      <c r="F3" s="276"/>
      <c r="G3" s="276"/>
      <c r="H3" s="276"/>
      <c r="I3" s="276"/>
      <c r="J3" s="276"/>
      <c r="K3" s="276"/>
      <c r="L3" s="276"/>
      <c r="M3" s="276"/>
      <c r="N3" s="277">
        <f t="shared" ref="N3:N34" si="0">SUM(B3:M3)</f>
        <v>206418</v>
      </c>
    </row>
    <row r="4" spans="1:14" x14ac:dyDescent="0.25">
      <c r="A4" s="250" t="s">
        <v>173</v>
      </c>
      <c r="B4" s="234"/>
      <c r="C4" s="234">
        <v>6179.46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78">
        <f t="shared" si="0"/>
        <v>6179.46</v>
      </c>
    </row>
    <row r="5" spans="1:14" x14ac:dyDescent="0.25">
      <c r="A5" s="256" t="s">
        <v>179</v>
      </c>
      <c r="B5" s="239"/>
      <c r="C5" s="228">
        <v>100000</v>
      </c>
      <c r="D5" s="239"/>
      <c r="E5" s="239"/>
      <c r="F5" s="228"/>
      <c r="G5" s="228"/>
      <c r="H5" s="239"/>
      <c r="I5" s="239"/>
      <c r="J5" s="239"/>
      <c r="K5" s="239"/>
      <c r="L5" s="239"/>
      <c r="M5" s="239"/>
      <c r="N5" s="239">
        <f>SUM(B5:M5)</f>
        <v>100000</v>
      </c>
    </row>
    <row r="6" spans="1:14" x14ac:dyDescent="0.25">
      <c r="A6" s="268" t="s">
        <v>178</v>
      </c>
      <c r="B6" s="219"/>
      <c r="C6" s="219">
        <v>19000</v>
      </c>
      <c r="D6" s="239"/>
      <c r="E6" s="228"/>
      <c r="F6" s="239"/>
      <c r="G6" s="239"/>
      <c r="H6" s="239"/>
      <c r="I6" s="239"/>
      <c r="J6" s="239"/>
      <c r="K6" s="239"/>
      <c r="L6" s="239"/>
      <c r="M6" s="239"/>
      <c r="N6" s="239">
        <f>SUM(B6:M6)</f>
        <v>19000</v>
      </c>
    </row>
    <row r="7" spans="1:14" x14ac:dyDescent="0.25">
      <c r="A7" s="250"/>
      <c r="B7" s="226"/>
      <c r="C7" s="226"/>
      <c r="D7" s="226"/>
      <c r="E7" s="280"/>
      <c r="F7" s="226"/>
      <c r="G7" s="280"/>
      <c r="H7" s="226"/>
      <c r="I7" s="280"/>
      <c r="J7" s="226"/>
      <c r="K7" s="226"/>
      <c r="L7" s="226"/>
      <c r="M7" s="226"/>
      <c r="N7" s="276">
        <f t="shared" si="0"/>
        <v>0</v>
      </c>
    </row>
    <row r="8" spans="1:14" x14ac:dyDescent="0.25">
      <c r="A8" s="250"/>
      <c r="B8" s="281"/>
      <c r="C8" s="281"/>
      <c r="D8" s="281"/>
      <c r="E8" s="281"/>
      <c r="F8" s="281"/>
      <c r="G8" s="281"/>
      <c r="H8" s="281"/>
      <c r="I8" s="281"/>
      <c r="J8" s="278"/>
      <c r="K8" s="278"/>
      <c r="L8" s="278"/>
      <c r="M8" s="278"/>
      <c r="N8" s="276">
        <f t="shared" si="0"/>
        <v>0</v>
      </c>
    </row>
    <row r="9" spans="1:14" x14ac:dyDescent="0.25">
      <c r="A9" s="256"/>
      <c r="B9" s="234"/>
      <c r="C9" s="234"/>
      <c r="D9" s="234"/>
      <c r="E9" s="234"/>
      <c r="F9" s="234"/>
      <c r="G9" s="279"/>
      <c r="H9" s="234"/>
      <c r="I9" s="279"/>
      <c r="J9" s="234"/>
      <c r="K9" s="234"/>
      <c r="L9" s="234"/>
      <c r="M9" s="234"/>
      <c r="N9" s="276">
        <f t="shared" si="0"/>
        <v>0</v>
      </c>
    </row>
    <row r="10" spans="1:14" x14ac:dyDescent="0.25">
      <c r="A10" s="256"/>
      <c r="B10" s="234"/>
      <c r="C10" s="234"/>
      <c r="D10" s="234"/>
      <c r="E10" s="234"/>
      <c r="F10" s="234"/>
      <c r="G10" s="279"/>
      <c r="H10" s="234"/>
      <c r="I10" s="234"/>
      <c r="J10" s="234"/>
      <c r="K10" s="234"/>
      <c r="L10" s="234"/>
      <c r="M10" s="234"/>
      <c r="N10" s="276">
        <f t="shared" si="0"/>
        <v>0</v>
      </c>
    </row>
    <row r="11" spans="1:14" x14ac:dyDescent="0.25">
      <c r="A11" s="256"/>
      <c r="B11" s="239"/>
      <c r="C11" s="228"/>
      <c r="D11" s="239"/>
      <c r="E11" s="234"/>
      <c r="F11" s="234"/>
      <c r="G11" s="279"/>
      <c r="H11" s="234"/>
      <c r="I11" s="234"/>
      <c r="J11" s="234"/>
      <c r="K11" s="234"/>
      <c r="L11" s="234"/>
      <c r="M11" s="234"/>
      <c r="N11" s="276">
        <f t="shared" si="0"/>
        <v>0</v>
      </c>
    </row>
    <row r="12" spans="1:14" x14ac:dyDescent="0.25">
      <c r="A12" s="250"/>
      <c r="B12" s="228"/>
      <c r="C12" s="239"/>
      <c r="D12" s="228"/>
      <c r="E12" s="239"/>
      <c r="F12" s="239"/>
      <c r="G12" s="279"/>
      <c r="H12" s="234"/>
      <c r="I12" s="279"/>
      <c r="J12" s="234"/>
      <c r="K12" s="234"/>
      <c r="L12" s="234"/>
      <c r="M12" s="234"/>
      <c r="N12" s="276">
        <f t="shared" si="0"/>
        <v>0</v>
      </c>
    </row>
    <row r="13" spans="1:14" x14ac:dyDescent="0.25">
      <c r="A13" s="256"/>
      <c r="B13" s="234"/>
      <c r="C13" s="234"/>
      <c r="D13" s="234"/>
      <c r="E13" s="279"/>
      <c r="F13" s="234"/>
      <c r="G13" s="279"/>
      <c r="H13" s="234"/>
      <c r="I13" s="279"/>
      <c r="J13" s="234"/>
      <c r="K13" s="234"/>
      <c r="L13" s="234"/>
      <c r="M13" s="234"/>
      <c r="N13" s="276">
        <f t="shared" si="0"/>
        <v>0</v>
      </c>
    </row>
    <row r="14" spans="1:14" x14ac:dyDescent="0.25">
      <c r="A14" s="256"/>
      <c r="B14" s="234"/>
      <c r="C14" s="234"/>
      <c r="D14" s="234"/>
      <c r="E14" s="234"/>
      <c r="F14" s="234"/>
      <c r="G14" s="294"/>
      <c r="H14" s="234"/>
      <c r="I14" s="279"/>
      <c r="J14" s="234"/>
      <c r="K14" s="234"/>
      <c r="L14" s="234"/>
      <c r="M14" s="234"/>
      <c r="N14" s="276">
        <f t="shared" si="0"/>
        <v>0</v>
      </c>
    </row>
    <row r="15" spans="1:14" x14ac:dyDescent="0.25">
      <c r="A15" s="256"/>
      <c r="B15" s="234"/>
      <c r="C15" s="234"/>
      <c r="D15" s="234"/>
      <c r="E15" s="234"/>
      <c r="F15" s="234"/>
      <c r="G15" s="279"/>
      <c r="H15" s="234"/>
      <c r="I15" s="234"/>
      <c r="J15" s="234"/>
      <c r="K15" s="234"/>
      <c r="L15" s="234"/>
      <c r="M15" s="234"/>
      <c r="N15" s="276">
        <f t="shared" si="0"/>
        <v>0</v>
      </c>
    </row>
    <row r="16" spans="1:14" x14ac:dyDescent="0.25">
      <c r="A16" s="256"/>
      <c r="B16" s="234"/>
      <c r="C16" s="234"/>
      <c r="D16" s="234"/>
      <c r="E16" s="234"/>
      <c r="F16" s="234"/>
      <c r="G16" s="279"/>
      <c r="H16" s="234"/>
      <c r="I16" s="234"/>
      <c r="J16" s="234"/>
      <c r="K16" s="234"/>
      <c r="L16" s="234"/>
      <c r="M16" s="234"/>
      <c r="N16" s="276">
        <f t="shared" si="0"/>
        <v>0</v>
      </c>
    </row>
    <row r="17" spans="1:14" x14ac:dyDescent="0.25">
      <c r="A17" s="239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26">
        <f t="shared" si="0"/>
        <v>0</v>
      </c>
    </row>
    <row r="18" spans="1:14" x14ac:dyDescent="0.25">
      <c r="A18" s="232"/>
      <c r="B18" s="228"/>
      <c r="C18" s="228"/>
      <c r="D18" s="228"/>
      <c r="E18" s="228"/>
      <c r="F18" s="228"/>
      <c r="G18" s="229"/>
      <c r="H18" s="228"/>
      <c r="I18" s="228"/>
      <c r="J18" s="228"/>
      <c r="K18" s="228"/>
      <c r="L18" s="228"/>
      <c r="M18" s="228"/>
      <c r="N18" s="226">
        <f>SUM(B18:M18)</f>
        <v>0</v>
      </c>
    </row>
    <row r="19" spans="1:14" x14ac:dyDescent="0.25">
      <c r="A19" s="230"/>
      <c r="B19" s="228"/>
      <c r="C19" s="228"/>
      <c r="D19" s="228"/>
      <c r="E19" s="234"/>
      <c r="F19" s="228"/>
      <c r="G19" s="229"/>
      <c r="H19" s="228"/>
      <c r="I19" s="228"/>
      <c r="J19" s="228"/>
      <c r="K19" s="228"/>
      <c r="L19" s="228"/>
      <c r="M19" s="228"/>
      <c r="N19" s="226">
        <f>SUM(B19:M19)</f>
        <v>0</v>
      </c>
    </row>
    <row r="20" spans="1:14" x14ac:dyDescent="0.25">
      <c r="A20" s="239"/>
      <c r="B20" s="234"/>
      <c r="C20" s="276"/>
      <c r="D20" s="276"/>
      <c r="E20" s="234"/>
      <c r="F20" s="276"/>
      <c r="G20" s="276"/>
      <c r="H20" s="276"/>
      <c r="I20" s="276"/>
      <c r="J20" s="276"/>
      <c r="K20" s="276"/>
      <c r="L20" s="276"/>
      <c r="M20" s="276"/>
      <c r="N20" s="276">
        <f t="shared" si="0"/>
        <v>0</v>
      </c>
    </row>
    <row r="21" spans="1:14" x14ac:dyDescent="0.25">
      <c r="A21" s="256"/>
      <c r="B21" s="234"/>
      <c r="C21" s="276"/>
      <c r="D21" s="278"/>
      <c r="E21" s="276"/>
      <c r="F21" s="276"/>
      <c r="G21" s="276"/>
      <c r="H21" s="276"/>
      <c r="I21" s="276"/>
      <c r="J21" s="276"/>
      <c r="K21" s="276"/>
      <c r="L21" s="276"/>
      <c r="M21" s="276"/>
      <c r="N21" s="276">
        <f t="shared" si="0"/>
        <v>0</v>
      </c>
    </row>
    <row r="22" spans="1:14" x14ac:dyDescent="0.25">
      <c r="A22" s="263"/>
      <c r="B22" s="226"/>
      <c r="C22" s="226"/>
      <c r="D22" s="226"/>
      <c r="E22" s="280"/>
      <c r="F22" s="280"/>
      <c r="G22" s="280"/>
      <c r="H22" s="226"/>
      <c r="I22" s="280"/>
      <c r="J22" s="226"/>
      <c r="K22" s="226"/>
      <c r="L22" s="226"/>
      <c r="M22" s="226"/>
      <c r="N22" s="276">
        <f t="shared" si="0"/>
        <v>0</v>
      </c>
    </row>
    <row r="23" spans="1:14" x14ac:dyDescent="0.25">
      <c r="A23" s="263"/>
      <c r="B23" s="226"/>
      <c r="C23" s="226"/>
      <c r="D23" s="226"/>
      <c r="E23" s="280"/>
      <c r="F23" s="280"/>
      <c r="G23" s="280"/>
      <c r="H23" s="226"/>
      <c r="I23" s="280"/>
      <c r="J23" s="226"/>
      <c r="K23" s="226"/>
      <c r="L23" s="226"/>
      <c r="M23" s="226"/>
      <c r="N23" s="276">
        <f t="shared" si="0"/>
        <v>0</v>
      </c>
    </row>
    <row r="24" spans="1:14" x14ac:dyDescent="0.25">
      <c r="A24" s="250"/>
      <c r="B24" s="226"/>
      <c r="C24" s="226"/>
      <c r="D24" s="226"/>
      <c r="E24" s="280"/>
      <c r="F24" s="226"/>
      <c r="G24" s="280"/>
      <c r="H24" s="226"/>
      <c r="I24" s="280"/>
      <c r="J24" s="226"/>
      <c r="K24" s="226"/>
      <c r="L24" s="226"/>
      <c r="M24" s="226"/>
      <c r="N24" s="276">
        <f t="shared" si="0"/>
        <v>0</v>
      </c>
    </row>
    <row r="25" spans="1:14" x14ac:dyDescent="0.25">
      <c r="A25" s="250"/>
      <c r="B25" s="234"/>
      <c r="C25" s="276"/>
      <c r="D25" s="234"/>
      <c r="E25" s="276"/>
      <c r="F25" s="276"/>
      <c r="G25" s="276"/>
      <c r="H25" s="226"/>
      <c r="I25" s="276"/>
      <c r="J25" s="276"/>
      <c r="K25" s="276"/>
      <c r="L25" s="276"/>
      <c r="M25" s="276"/>
      <c r="N25" s="276">
        <f t="shared" si="0"/>
        <v>0</v>
      </c>
    </row>
    <row r="26" spans="1:14" x14ac:dyDescent="0.25">
      <c r="A26" s="256"/>
      <c r="B26" s="228"/>
      <c r="C26" s="239"/>
      <c r="D26" s="228"/>
      <c r="E26" s="239"/>
      <c r="F26" s="239"/>
      <c r="G26" s="239"/>
      <c r="H26" s="239"/>
      <c r="I26" s="239"/>
      <c r="J26" s="239"/>
      <c r="K26" s="278"/>
      <c r="L26" s="278"/>
      <c r="M26" s="278"/>
      <c r="N26" s="276">
        <f t="shared" si="0"/>
        <v>0</v>
      </c>
    </row>
    <row r="27" spans="1:14" x14ac:dyDescent="0.25">
      <c r="A27" s="282"/>
      <c r="B27" s="226"/>
      <c r="C27" s="283"/>
      <c r="D27" s="283"/>
      <c r="E27" s="280"/>
      <c r="F27" s="278"/>
      <c r="G27" s="284"/>
      <c r="H27" s="278"/>
      <c r="I27" s="284"/>
      <c r="J27" s="278"/>
      <c r="K27" s="278"/>
      <c r="L27" s="278"/>
      <c r="M27" s="278"/>
      <c r="N27" s="276">
        <f t="shared" si="0"/>
        <v>0</v>
      </c>
    </row>
    <row r="28" spans="1:14" x14ac:dyDescent="0.25">
      <c r="A28" s="230"/>
      <c r="B28" s="224"/>
      <c r="C28" s="224"/>
      <c r="D28" s="224"/>
      <c r="E28" s="226"/>
      <c r="F28" s="224"/>
      <c r="G28" s="224"/>
      <c r="H28" s="224"/>
      <c r="I28" s="224"/>
      <c r="J28" s="224"/>
      <c r="K28" s="224"/>
      <c r="L28" s="224"/>
      <c r="M28" s="224"/>
      <c r="N28" s="226">
        <f>SUM(B28:M28)</f>
        <v>0</v>
      </c>
    </row>
    <row r="29" spans="1:14" x14ac:dyDescent="0.25">
      <c r="A29" s="254"/>
      <c r="B29" s="285"/>
      <c r="C29" s="285"/>
      <c r="D29" s="285"/>
      <c r="E29" s="286"/>
      <c r="F29" s="285"/>
      <c r="G29" s="286"/>
      <c r="H29" s="285"/>
      <c r="I29" s="286"/>
      <c r="J29" s="285"/>
      <c r="K29" s="285"/>
      <c r="L29" s="285"/>
      <c r="M29" s="285"/>
      <c r="N29" s="276">
        <f t="shared" si="0"/>
        <v>0</v>
      </c>
    </row>
    <row r="30" spans="1:14" x14ac:dyDescent="0.25">
      <c r="A30" s="287"/>
      <c r="B30" s="234"/>
      <c r="C30" s="234"/>
      <c r="D30" s="276"/>
      <c r="E30" s="279"/>
      <c r="F30" s="276"/>
      <c r="G30" s="277"/>
      <c r="H30" s="276"/>
      <c r="I30" s="277"/>
      <c r="J30" s="276"/>
      <c r="K30" s="276"/>
      <c r="L30" s="276"/>
      <c r="M30" s="276"/>
      <c r="N30" s="276">
        <f t="shared" si="0"/>
        <v>0</v>
      </c>
    </row>
    <row r="31" spans="1:14" hidden="1" x14ac:dyDescent="0.25">
      <c r="A31" s="287"/>
      <c r="B31" s="226"/>
      <c r="C31" s="278"/>
      <c r="D31" s="278"/>
      <c r="E31" s="280"/>
      <c r="F31" s="285"/>
      <c r="G31" s="284"/>
      <c r="H31" s="278"/>
      <c r="I31" s="284"/>
      <c r="J31" s="278"/>
      <c r="K31" s="278"/>
      <c r="L31" s="278"/>
      <c r="M31" s="278"/>
      <c r="N31" s="276">
        <f t="shared" si="0"/>
        <v>0</v>
      </c>
    </row>
    <row r="32" spans="1:14" hidden="1" x14ac:dyDescent="0.25">
      <c r="A32" s="287"/>
      <c r="B32" s="226"/>
      <c r="C32" s="278"/>
      <c r="D32" s="278"/>
      <c r="E32" s="280"/>
      <c r="F32" s="285"/>
      <c r="G32" s="284"/>
      <c r="H32" s="278"/>
      <c r="I32" s="284"/>
      <c r="J32" s="278"/>
      <c r="K32" s="278"/>
      <c r="L32" s="278"/>
      <c r="M32" s="278"/>
      <c r="N32" s="276">
        <f t="shared" si="0"/>
        <v>0</v>
      </c>
    </row>
    <row r="33" spans="1:14" hidden="1" x14ac:dyDescent="0.25">
      <c r="A33" s="287"/>
      <c r="B33" s="226"/>
      <c r="C33" s="278"/>
      <c r="D33" s="278"/>
      <c r="E33" s="280"/>
      <c r="F33" s="278"/>
      <c r="G33" s="284"/>
      <c r="H33" s="278"/>
      <c r="I33" s="284"/>
      <c r="J33" s="278"/>
      <c r="K33" s="278"/>
      <c r="L33" s="278"/>
      <c r="M33" s="278"/>
      <c r="N33" s="276">
        <f t="shared" si="0"/>
        <v>0</v>
      </c>
    </row>
    <row r="34" spans="1:14" hidden="1" x14ac:dyDescent="0.25">
      <c r="A34" s="288"/>
      <c r="B34" s="226"/>
      <c r="C34" s="278"/>
      <c r="D34" s="278"/>
      <c r="E34" s="280"/>
      <c r="F34" s="278"/>
      <c r="G34" s="284"/>
      <c r="H34" s="278"/>
      <c r="I34" s="284"/>
      <c r="J34" s="278"/>
      <c r="K34" s="278"/>
      <c r="L34" s="278"/>
      <c r="M34" s="278"/>
      <c r="N34" s="276">
        <f t="shared" si="0"/>
        <v>0</v>
      </c>
    </row>
    <row r="35" spans="1:14" hidden="1" x14ac:dyDescent="0.25">
      <c r="A35" s="288"/>
      <c r="B35" s="226"/>
      <c r="C35" s="278"/>
      <c r="D35" s="278"/>
      <c r="E35" s="280"/>
      <c r="F35" s="278"/>
      <c r="G35" s="284"/>
      <c r="H35" s="278"/>
      <c r="I35" s="284"/>
      <c r="J35" s="278"/>
      <c r="K35" s="278"/>
      <c r="L35" s="278"/>
      <c r="M35" s="278"/>
      <c r="N35" s="276">
        <f t="shared" ref="N35:N65" si="1">SUM(B35:M35)</f>
        <v>0</v>
      </c>
    </row>
    <row r="36" spans="1:14" hidden="1" x14ac:dyDescent="0.25">
      <c r="A36" s="288"/>
      <c r="B36" s="226"/>
      <c r="C36" s="278"/>
      <c r="D36" s="278"/>
      <c r="E36" s="280"/>
      <c r="F36" s="278"/>
      <c r="G36" s="284"/>
      <c r="H36" s="278"/>
      <c r="I36" s="284"/>
      <c r="J36" s="278"/>
      <c r="K36" s="278"/>
      <c r="L36" s="278"/>
      <c r="M36" s="278"/>
      <c r="N36" s="276">
        <f t="shared" si="1"/>
        <v>0</v>
      </c>
    </row>
    <row r="37" spans="1:14" hidden="1" x14ac:dyDescent="0.25">
      <c r="A37" s="288"/>
      <c r="B37" s="226"/>
      <c r="C37" s="278"/>
      <c r="D37" s="278"/>
      <c r="E37" s="285"/>
      <c r="F37" s="278"/>
      <c r="G37" s="284"/>
      <c r="H37" s="278"/>
      <c r="I37" s="284"/>
      <c r="J37" s="278"/>
      <c r="K37" s="278"/>
      <c r="L37" s="278"/>
      <c r="M37" s="278"/>
      <c r="N37" s="276">
        <f t="shared" si="1"/>
        <v>0</v>
      </c>
    </row>
    <row r="38" spans="1:14" hidden="1" x14ac:dyDescent="0.25">
      <c r="A38" s="288"/>
      <c r="B38" s="226"/>
      <c r="C38" s="278"/>
      <c r="D38" s="278"/>
      <c r="E38" s="286"/>
      <c r="F38" s="278"/>
      <c r="G38" s="284"/>
      <c r="H38" s="278"/>
      <c r="I38" s="284"/>
      <c r="J38" s="278"/>
      <c r="K38" s="278"/>
      <c r="L38" s="278"/>
      <c r="M38" s="278"/>
      <c r="N38" s="276">
        <f t="shared" si="1"/>
        <v>0</v>
      </c>
    </row>
    <row r="39" spans="1:14" hidden="1" x14ac:dyDescent="0.25">
      <c r="A39" s="288"/>
      <c r="B39" s="226"/>
      <c r="C39" s="278"/>
      <c r="D39" s="278"/>
      <c r="E39" s="286"/>
      <c r="F39" s="278"/>
      <c r="G39" s="284"/>
      <c r="H39" s="278"/>
      <c r="I39" s="284"/>
      <c r="J39" s="278"/>
      <c r="K39" s="278"/>
      <c r="L39" s="278"/>
      <c r="M39" s="278"/>
      <c r="N39" s="276">
        <f t="shared" si="1"/>
        <v>0</v>
      </c>
    </row>
    <row r="40" spans="1:14" hidden="1" x14ac:dyDescent="0.25">
      <c r="A40" s="288"/>
      <c r="B40" s="226"/>
      <c r="C40" s="278"/>
      <c r="D40" s="278"/>
      <c r="E40" s="286"/>
      <c r="F40" s="278"/>
      <c r="G40" s="284"/>
      <c r="H40" s="278"/>
      <c r="I40" s="284"/>
      <c r="J40" s="278"/>
      <c r="K40" s="278"/>
      <c r="L40" s="278"/>
      <c r="M40" s="278"/>
      <c r="N40" s="276">
        <f t="shared" si="1"/>
        <v>0</v>
      </c>
    </row>
    <row r="41" spans="1:14" hidden="1" x14ac:dyDescent="0.25">
      <c r="A41" s="288"/>
      <c r="B41" s="226"/>
      <c r="C41" s="278"/>
      <c r="D41" s="278"/>
      <c r="E41" s="286"/>
      <c r="F41" s="278"/>
      <c r="G41" s="284"/>
      <c r="H41" s="278"/>
      <c r="I41" s="284"/>
      <c r="J41" s="278"/>
      <c r="K41" s="278"/>
      <c r="L41" s="278"/>
      <c r="M41" s="278"/>
      <c r="N41" s="276">
        <f t="shared" si="1"/>
        <v>0</v>
      </c>
    </row>
    <row r="42" spans="1:14" hidden="1" x14ac:dyDescent="0.25">
      <c r="A42" s="288"/>
      <c r="B42" s="226"/>
      <c r="C42" s="278"/>
      <c r="D42" s="278"/>
      <c r="E42" s="286"/>
      <c r="F42" s="278"/>
      <c r="G42" s="284"/>
      <c r="H42" s="278"/>
      <c r="I42" s="284"/>
      <c r="J42" s="278"/>
      <c r="K42" s="278"/>
      <c r="L42" s="278"/>
      <c r="M42" s="278"/>
      <c r="N42" s="276">
        <f t="shared" si="1"/>
        <v>0</v>
      </c>
    </row>
    <row r="43" spans="1:14" hidden="1" x14ac:dyDescent="0.25">
      <c r="A43" s="288"/>
      <c r="B43" s="226"/>
      <c r="C43" s="278"/>
      <c r="D43" s="278"/>
      <c r="E43" s="286"/>
      <c r="F43" s="278"/>
      <c r="G43" s="284"/>
      <c r="H43" s="278"/>
      <c r="I43" s="284"/>
      <c r="J43" s="278"/>
      <c r="K43" s="278"/>
      <c r="L43" s="278"/>
      <c r="M43" s="278"/>
      <c r="N43" s="276">
        <f t="shared" si="1"/>
        <v>0</v>
      </c>
    </row>
    <row r="44" spans="1:14" hidden="1" x14ac:dyDescent="0.25">
      <c r="A44" s="288"/>
      <c r="B44" s="226"/>
      <c r="C44" s="278"/>
      <c r="D44" s="278"/>
      <c r="E44" s="286"/>
      <c r="F44" s="278"/>
      <c r="G44" s="284"/>
      <c r="H44" s="278"/>
      <c r="I44" s="284"/>
      <c r="J44" s="278"/>
      <c r="K44" s="278"/>
      <c r="L44" s="278"/>
      <c r="M44" s="278"/>
      <c r="N44" s="276">
        <f t="shared" si="1"/>
        <v>0</v>
      </c>
    </row>
    <row r="45" spans="1:14" hidden="1" x14ac:dyDescent="0.25">
      <c r="A45" s="288"/>
      <c r="B45" s="226"/>
      <c r="C45" s="278"/>
      <c r="D45" s="278"/>
      <c r="E45" s="286"/>
      <c r="F45" s="278"/>
      <c r="G45" s="284"/>
      <c r="H45" s="278"/>
      <c r="I45" s="284"/>
      <c r="J45" s="278"/>
      <c r="K45" s="278"/>
      <c r="L45" s="278"/>
      <c r="M45" s="278"/>
      <c r="N45" s="276">
        <f t="shared" si="1"/>
        <v>0</v>
      </c>
    </row>
    <row r="46" spans="1:14" hidden="1" x14ac:dyDescent="0.25">
      <c r="A46" s="288"/>
      <c r="B46" s="226"/>
      <c r="C46" s="278"/>
      <c r="D46" s="278"/>
      <c r="E46" s="286"/>
      <c r="F46" s="278"/>
      <c r="G46" s="284"/>
      <c r="H46" s="278"/>
      <c r="I46" s="284"/>
      <c r="J46" s="278"/>
      <c r="K46" s="278"/>
      <c r="L46" s="278"/>
      <c r="M46" s="278"/>
      <c r="N46" s="276">
        <f t="shared" si="1"/>
        <v>0</v>
      </c>
    </row>
    <row r="47" spans="1:14" hidden="1" x14ac:dyDescent="0.25">
      <c r="A47" s="288"/>
      <c r="B47" s="226"/>
      <c r="C47" s="278"/>
      <c r="D47" s="278"/>
      <c r="E47" s="286"/>
      <c r="F47" s="278"/>
      <c r="G47" s="284"/>
      <c r="H47" s="278"/>
      <c r="I47" s="284"/>
      <c r="J47" s="278"/>
      <c r="K47" s="278"/>
      <c r="L47" s="278"/>
      <c r="M47" s="278"/>
      <c r="N47" s="276">
        <f t="shared" si="1"/>
        <v>0</v>
      </c>
    </row>
    <row r="48" spans="1:14" hidden="1" x14ac:dyDescent="0.25">
      <c r="A48" s="288"/>
      <c r="B48" s="226"/>
      <c r="C48" s="278"/>
      <c r="D48" s="278"/>
      <c r="E48" s="286"/>
      <c r="F48" s="278"/>
      <c r="G48" s="284"/>
      <c r="H48" s="278"/>
      <c r="I48" s="284"/>
      <c r="J48" s="278"/>
      <c r="K48" s="278"/>
      <c r="L48" s="278"/>
      <c r="M48" s="278"/>
      <c r="N48" s="276">
        <f t="shared" si="1"/>
        <v>0</v>
      </c>
    </row>
    <row r="49" spans="1:14" hidden="1" x14ac:dyDescent="0.25">
      <c r="A49" s="288"/>
      <c r="B49" s="226"/>
      <c r="C49" s="278"/>
      <c r="D49" s="278"/>
      <c r="E49" s="286"/>
      <c r="F49" s="278"/>
      <c r="G49" s="284"/>
      <c r="H49" s="278"/>
      <c r="I49" s="284"/>
      <c r="J49" s="278"/>
      <c r="K49" s="278"/>
      <c r="L49" s="278"/>
      <c r="M49" s="278"/>
      <c r="N49" s="276">
        <f t="shared" si="1"/>
        <v>0</v>
      </c>
    </row>
    <row r="50" spans="1:14" hidden="1" x14ac:dyDescent="0.25">
      <c r="A50" s="288"/>
      <c r="B50" s="226"/>
      <c r="C50" s="278"/>
      <c r="D50" s="278"/>
      <c r="E50" s="286"/>
      <c r="F50" s="278"/>
      <c r="G50" s="284"/>
      <c r="H50" s="278"/>
      <c r="I50" s="284"/>
      <c r="J50" s="278"/>
      <c r="K50" s="278"/>
      <c r="L50" s="278"/>
      <c r="M50" s="278"/>
      <c r="N50" s="276">
        <f t="shared" si="1"/>
        <v>0</v>
      </c>
    </row>
    <row r="51" spans="1:14" hidden="1" x14ac:dyDescent="0.25">
      <c r="A51" s="288"/>
      <c r="B51" s="226"/>
      <c r="C51" s="278"/>
      <c r="D51" s="278"/>
      <c r="E51" s="286"/>
      <c r="F51" s="278"/>
      <c r="G51" s="284"/>
      <c r="H51" s="278"/>
      <c r="I51" s="284"/>
      <c r="J51" s="278"/>
      <c r="K51" s="278"/>
      <c r="L51" s="278"/>
      <c r="M51" s="278"/>
      <c r="N51" s="276">
        <f t="shared" si="1"/>
        <v>0</v>
      </c>
    </row>
    <row r="52" spans="1:14" hidden="1" x14ac:dyDescent="0.25">
      <c r="A52" s="288"/>
      <c r="B52" s="226"/>
      <c r="C52" s="278"/>
      <c r="D52" s="278"/>
      <c r="E52" s="286"/>
      <c r="F52" s="278"/>
      <c r="G52" s="284"/>
      <c r="H52" s="278"/>
      <c r="I52" s="284"/>
      <c r="J52" s="278"/>
      <c r="K52" s="278"/>
      <c r="L52" s="278"/>
      <c r="M52" s="278"/>
      <c r="N52" s="276">
        <f t="shared" si="1"/>
        <v>0</v>
      </c>
    </row>
    <row r="53" spans="1:14" hidden="1" x14ac:dyDescent="0.25">
      <c r="A53" s="256"/>
      <c r="B53" s="234"/>
      <c r="C53" s="234"/>
      <c r="D53" s="234"/>
      <c r="E53" s="234"/>
      <c r="F53" s="234"/>
      <c r="G53" s="279"/>
      <c r="H53" s="234"/>
      <c r="I53" s="279"/>
      <c r="J53" s="234"/>
      <c r="K53" s="234"/>
      <c r="L53" s="234"/>
      <c r="M53" s="234"/>
      <c r="N53" s="226">
        <f t="shared" si="1"/>
        <v>0</v>
      </c>
    </row>
    <row r="54" spans="1:14" hidden="1" x14ac:dyDescent="0.25">
      <c r="A54" s="250"/>
      <c r="B54" s="226"/>
      <c r="C54" s="226"/>
      <c r="D54" s="226"/>
      <c r="E54" s="280"/>
      <c r="F54" s="226"/>
      <c r="G54" s="280"/>
      <c r="H54" s="226"/>
      <c r="I54" s="280"/>
      <c r="J54" s="226"/>
      <c r="K54" s="226"/>
      <c r="L54" s="226"/>
      <c r="M54" s="226"/>
      <c r="N54" s="276">
        <f t="shared" si="1"/>
        <v>0</v>
      </c>
    </row>
    <row r="55" spans="1:14" hidden="1" x14ac:dyDescent="0.25">
      <c r="A55" s="232"/>
      <c r="B55" s="234"/>
      <c r="C55" s="234"/>
      <c r="D55" s="234"/>
      <c r="E55" s="234"/>
      <c r="F55" s="289"/>
      <c r="G55" s="279"/>
      <c r="H55" s="234"/>
      <c r="I55" s="279"/>
      <c r="J55" s="234"/>
      <c r="K55" s="234"/>
      <c r="L55" s="234"/>
      <c r="M55" s="234"/>
      <c r="N55" s="276">
        <f t="shared" si="1"/>
        <v>0</v>
      </c>
    </row>
    <row r="56" spans="1:14" hidden="1" x14ac:dyDescent="0.25">
      <c r="A56" s="267"/>
      <c r="B56" s="234"/>
      <c r="C56" s="234"/>
      <c r="D56" s="234"/>
      <c r="E56" s="234"/>
      <c r="F56" s="279"/>
      <c r="G56" s="279"/>
      <c r="H56" s="234"/>
      <c r="I56" s="279"/>
      <c r="J56" s="234"/>
      <c r="K56" s="234"/>
      <c r="L56" s="226"/>
      <c r="M56" s="234"/>
      <c r="N56" s="276">
        <f t="shared" si="1"/>
        <v>0</v>
      </c>
    </row>
    <row r="57" spans="1:14" hidden="1" x14ac:dyDescent="0.25">
      <c r="A57" s="232"/>
      <c r="B57" s="234"/>
      <c r="C57" s="234"/>
      <c r="D57" s="234"/>
      <c r="E57" s="234"/>
      <c r="F57" s="289"/>
      <c r="G57" s="279"/>
      <c r="H57" s="234"/>
      <c r="I57" s="279"/>
      <c r="J57" s="234"/>
      <c r="K57" s="234"/>
      <c r="L57" s="226"/>
      <c r="M57" s="234"/>
      <c r="N57" s="276">
        <f t="shared" si="1"/>
        <v>0</v>
      </c>
    </row>
    <row r="58" spans="1:14" hidden="1" x14ac:dyDescent="0.25">
      <c r="A58" s="239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76">
        <f t="shared" si="1"/>
        <v>0</v>
      </c>
    </row>
    <row r="59" spans="1:14" hidden="1" x14ac:dyDescent="0.25">
      <c r="A59" s="239"/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76">
        <f t="shared" si="1"/>
        <v>0</v>
      </c>
    </row>
    <row r="60" spans="1:14" hidden="1" x14ac:dyDescent="0.25">
      <c r="A60" s="239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76">
        <f t="shared" si="1"/>
        <v>0</v>
      </c>
    </row>
    <row r="61" spans="1:14" hidden="1" x14ac:dyDescent="0.25">
      <c r="A61" s="256"/>
      <c r="B61" s="234"/>
      <c r="C61" s="276"/>
      <c r="D61" s="234"/>
      <c r="E61" s="276"/>
      <c r="F61" s="276"/>
      <c r="G61" s="276"/>
      <c r="H61" s="276"/>
      <c r="I61" s="276"/>
      <c r="J61" s="276"/>
      <c r="K61" s="276"/>
      <c r="L61" s="276"/>
      <c r="M61" s="276"/>
      <c r="N61" s="276">
        <f t="shared" si="1"/>
        <v>0</v>
      </c>
    </row>
    <row r="62" spans="1:14" hidden="1" x14ac:dyDescent="0.25">
      <c r="A62" s="256"/>
      <c r="B62" s="234"/>
      <c r="C62" s="276"/>
      <c r="D62" s="234"/>
      <c r="E62" s="276"/>
      <c r="F62" s="276"/>
      <c r="G62" s="276"/>
      <c r="H62" s="276"/>
      <c r="I62" s="276"/>
      <c r="J62" s="276"/>
      <c r="K62" s="276"/>
      <c r="L62" s="276"/>
      <c r="M62" s="276"/>
      <c r="N62" s="276">
        <f t="shared" si="1"/>
        <v>0</v>
      </c>
    </row>
    <row r="63" spans="1:14" hidden="1" x14ac:dyDescent="0.25">
      <c r="A63" s="256"/>
      <c r="B63" s="234"/>
      <c r="C63" s="276"/>
      <c r="D63" s="234"/>
      <c r="E63" s="276"/>
      <c r="F63" s="276"/>
      <c r="G63" s="276"/>
      <c r="H63" s="276"/>
      <c r="I63" s="276"/>
      <c r="J63" s="276"/>
      <c r="K63" s="276"/>
      <c r="L63" s="276"/>
      <c r="M63" s="276"/>
      <c r="N63" s="276">
        <f t="shared" si="1"/>
        <v>0</v>
      </c>
    </row>
    <row r="64" spans="1:14" x14ac:dyDescent="0.25">
      <c r="A64" s="263"/>
      <c r="B64" s="226"/>
      <c r="C64" s="226"/>
      <c r="D64" s="226"/>
      <c r="E64" s="280"/>
      <c r="F64" s="234"/>
      <c r="G64" s="280"/>
      <c r="H64" s="226"/>
      <c r="I64" s="280"/>
      <c r="J64" s="226"/>
      <c r="K64" s="226"/>
      <c r="L64" s="226"/>
      <c r="M64" s="226"/>
      <c r="N64" s="276">
        <f t="shared" si="1"/>
        <v>0</v>
      </c>
    </row>
    <row r="65" spans="1:14" x14ac:dyDescent="0.25">
      <c r="A65" s="193"/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76">
        <f t="shared" si="1"/>
        <v>0</v>
      </c>
    </row>
    <row r="66" spans="1:14" x14ac:dyDescent="0.25">
      <c r="A66" s="243" t="s">
        <v>98</v>
      </c>
      <c r="B66" s="257">
        <f t="shared" ref="B66:N66" si="2">SUM(B3:B65)</f>
        <v>0</v>
      </c>
      <c r="C66" s="257">
        <f t="shared" si="2"/>
        <v>331597.45999999996</v>
      </c>
      <c r="D66" s="257">
        <f t="shared" si="2"/>
        <v>0</v>
      </c>
      <c r="E66" s="257">
        <f t="shared" si="2"/>
        <v>0</v>
      </c>
      <c r="F66" s="257">
        <f t="shared" si="2"/>
        <v>0</v>
      </c>
      <c r="G66" s="257">
        <f t="shared" si="2"/>
        <v>0</v>
      </c>
      <c r="H66" s="257">
        <f t="shared" si="2"/>
        <v>0</v>
      </c>
      <c r="I66" s="257">
        <f t="shared" si="2"/>
        <v>0</v>
      </c>
      <c r="J66" s="257">
        <f t="shared" si="2"/>
        <v>0</v>
      </c>
      <c r="K66" s="257">
        <f t="shared" si="2"/>
        <v>0</v>
      </c>
      <c r="L66" s="257">
        <f t="shared" si="2"/>
        <v>0</v>
      </c>
      <c r="M66" s="257">
        <f t="shared" si="2"/>
        <v>0</v>
      </c>
      <c r="N66" s="257">
        <f t="shared" si="2"/>
        <v>331597.45999999996</v>
      </c>
    </row>
    <row r="68" spans="1:14" x14ac:dyDescent="0.25">
      <c r="N68" s="249">
        <f>SUM(B66:M66)-N66</f>
        <v>0</v>
      </c>
    </row>
  </sheetData>
  <phoneticPr fontId="21" type="noConversion"/>
  <pageMargins left="0.25" right="0.25" top="0.75" bottom="0.75" header="0.3" footer="0.3"/>
  <pageSetup paperSize="9" scale="85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V77"/>
  <sheetViews>
    <sheetView tabSelected="1" workbookViewId="0">
      <pane xSplit="25890" ySplit="2130" topLeftCell="D13" activePane="bottomLeft"/>
      <selection activeCell="Q3" sqref="Q3:Q4"/>
      <selection pane="topRight" activeCell="Q3" sqref="Q3:Q4"/>
      <selection pane="bottomLeft" activeCell="E33" sqref="E33"/>
      <selection pane="bottomRight" activeCell="D31" sqref="D31"/>
    </sheetView>
  </sheetViews>
  <sheetFormatPr defaultRowHeight="15" x14ac:dyDescent="0.25"/>
  <cols>
    <col min="1" max="1" width="38.5703125" style="95" customWidth="1"/>
    <col min="2" max="2" width="14.7109375" style="96" bestFit="1" customWidth="1"/>
    <col min="3" max="3" width="13.5703125" style="96" customWidth="1"/>
    <col min="4" max="4" width="13.5703125" style="96" bestFit="1" customWidth="1"/>
    <col min="5" max="5" width="13.140625" style="96" customWidth="1"/>
    <col min="6" max="6" width="13.5703125" style="96" bestFit="1" customWidth="1"/>
    <col min="7" max="7" width="13.140625" style="97" customWidth="1"/>
    <col min="8" max="8" width="13.5703125" style="97" bestFit="1" customWidth="1"/>
    <col min="9" max="10" width="13.42578125" style="97" bestFit="1" customWidth="1"/>
    <col min="11" max="11" width="13.5703125" style="97" bestFit="1" customWidth="1"/>
    <col min="12" max="13" width="13.42578125" style="97" bestFit="1" customWidth="1"/>
    <col min="14" max="14" width="13.5703125" style="97" customWidth="1"/>
    <col min="15" max="15" width="13.42578125" style="97" customWidth="1"/>
    <col min="16" max="16" width="14.7109375" style="96" bestFit="1" customWidth="1"/>
    <col min="17" max="17" width="15.28515625" style="96" customWidth="1"/>
    <col min="18" max="18" width="16" style="96" bestFit="1" customWidth="1"/>
    <col min="19" max="19" width="15.5703125" bestFit="1" customWidth="1"/>
  </cols>
  <sheetData>
    <row r="1" spans="1:19" ht="18" customHeight="1" x14ac:dyDescent="0.25">
      <c r="A1" s="98" t="s">
        <v>52</v>
      </c>
      <c r="B1" s="99" t="s">
        <v>140</v>
      </c>
      <c r="C1" s="97"/>
      <c r="D1" s="97"/>
      <c r="E1" s="97"/>
      <c r="F1" s="97"/>
      <c r="H1" s="290"/>
      <c r="P1" s="97"/>
      <c r="Q1" s="97"/>
      <c r="R1" s="97"/>
    </row>
    <row r="2" spans="1:19" ht="21" customHeight="1" x14ac:dyDescent="0.25">
      <c r="A2" s="100" t="s">
        <v>204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6">
        <v>2</v>
      </c>
      <c r="R2" s="96" t="s">
        <v>53</v>
      </c>
    </row>
    <row r="3" spans="1:19" ht="37.5" customHeight="1" x14ac:dyDescent="0.3">
      <c r="A3" s="9" t="s">
        <v>1</v>
      </c>
      <c r="B3" s="341" t="s">
        <v>2</v>
      </c>
      <c r="C3" s="341" t="s">
        <v>54</v>
      </c>
      <c r="D3" s="339" t="s">
        <v>4</v>
      </c>
      <c r="E3" s="339" t="s">
        <v>5</v>
      </c>
      <c r="F3" s="339" t="s">
        <v>6</v>
      </c>
      <c r="G3" s="339" t="s">
        <v>7</v>
      </c>
      <c r="H3" s="339" t="s">
        <v>8</v>
      </c>
      <c r="I3" s="339" t="s">
        <v>9</v>
      </c>
      <c r="J3" s="339" t="s">
        <v>14</v>
      </c>
      <c r="K3" s="339" t="s">
        <v>15</v>
      </c>
      <c r="L3" s="339" t="s">
        <v>16</v>
      </c>
      <c r="M3" s="339" t="s">
        <v>17</v>
      </c>
      <c r="N3" s="339" t="s">
        <v>18</v>
      </c>
      <c r="O3" s="339" t="s">
        <v>19</v>
      </c>
      <c r="P3" s="341" t="str">
        <f>CONCATENATE("Итого за ",Q2," мес.")</f>
        <v>Итого за 2 мес.</v>
      </c>
      <c r="Q3" s="341" t="str">
        <f>CONCATENATE("Бюджет          за ",Q2," мес.")</f>
        <v>Бюджет          за 2 мес.</v>
      </c>
      <c r="R3" s="343" t="s">
        <v>12</v>
      </c>
    </row>
    <row r="4" spans="1:19" ht="15" customHeight="1" x14ac:dyDescent="0.25">
      <c r="A4" s="102"/>
      <c r="B4" s="355"/>
      <c r="C4" s="355"/>
      <c r="D4" s="340"/>
      <c r="E4" s="340"/>
      <c r="F4" s="340"/>
      <c r="G4" s="340"/>
      <c r="H4" s="340" t="s">
        <v>8</v>
      </c>
      <c r="I4" s="340" t="s">
        <v>9</v>
      </c>
      <c r="J4" s="340" t="s">
        <v>14</v>
      </c>
      <c r="K4" s="340" t="s">
        <v>15</v>
      </c>
      <c r="L4" s="340" t="s">
        <v>16</v>
      </c>
      <c r="M4" s="340" t="s">
        <v>17</v>
      </c>
      <c r="N4" s="340" t="s">
        <v>18</v>
      </c>
      <c r="O4" s="340" t="s">
        <v>19</v>
      </c>
      <c r="P4" s="355"/>
      <c r="Q4" s="342"/>
      <c r="R4" s="344"/>
    </row>
    <row r="5" spans="1:19" ht="15" customHeight="1" x14ac:dyDescent="0.25">
      <c r="A5" s="106" t="s">
        <v>55</v>
      </c>
      <c r="B5" s="107">
        <v>1000000</v>
      </c>
      <c r="C5" s="103"/>
      <c r="D5" s="300">
        <f>D6*100/$C$6</f>
        <v>92.093288755592695</v>
      </c>
      <c r="E5" s="300">
        <f>E6*100/$C$6</f>
        <v>95.188911745906879</v>
      </c>
      <c r="F5" s="300">
        <f>F6*100/$C$6</f>
        <v>0</v>
      </c>
      <c r="G5" s="104"/>
      <c r="H5" s="104"/>
      <c r="I5" s="104"/>
      <c r="J5" s="104"/>
      <c r="K5" s="104"/>
      <c r="L5" s="104"/>
      <c r="M5" s="104"/>
      <c r="N5" s="104"/>
      <c r="O5" s="104"/>
      <c r="P5" s="103"/>
      <c r="Q5" s="108"/>
      <c r="R5" s="105"/>
    </row>
    <row r="6" spans="1:19" ht="15.75" x14ac:dyDescent="0.25">
      <c r="A6" s="106" t="s">
        <v>56</v>
      </c>
      <c r="B6" s="107">
        <v>40678000</v>
      </c>
      <c r="C6" s="109">
        <f>B6/12</f>
        <v>3389833.3333333335</v>
      </c>
      <c r="D6" s="110">
        <f>326+3121483</f>
        <v>3121809</v>
      </c>
      <c r="E6" s="110">
        <f>13000+326+3213419.46</f>
        <v>3226745.46</v>
      </c>
      <c r="F6" s="110"/>
      <c r="G6" s="111"/>
      <c r="H6" s="112"/>
      <c r="I6" s="113"/>
      <c r="J6" s="113"/>
      <c r="K6" s="110"/>
      <c r="L6" s="114"/>
      <c r="M6" s="110"/>
      <c r="N6" s="110"/>
      <c r="O6" s="114"/>
      <c r="P6" s="115">
        <f>SUM(D6:O6)</f>
        <v>6348554.46</v>
      </c>
      <c r="Q6" s="116">
        <f>C6*Q2</f>
        <v>6779666.666666667</v>
      </c>
      <c r="R6" s="117">
        <f>P6-Q6</f>
        <v>-431112.20666666701</v>
      </c>
    </row>
    <row r="7" spans="1:19" ht="15.75" x14ac:dyDescent="0.25">
      <c r="A7" s="345" t="s">
        <v>57</v>
      </c>
      <c r="B7" s="347">
        <v>1000000</v>
      </c>
      <c r="C7" s="349">
        <f>B7/12</f>
        <v>83333.333333333328</v>
      </c>
      <c r="D7" s="110">
        <v>92124</v>
      </c>
      <c r="E7" s="110">
        <v>310650</v>
      </c>
      <c r="F7" s="110"/>
      <c r="G7" s="111"/>
      <c r="H7" s="112"/>
      <c r="I7" s="113"/>
      <c r="J7" s="110"/>
      <c r="K7" s="110"/>
      <c r="L7" s="110"/>
      <c r="M7" s="110"/>
      <c r="N7" s="110"/>
      <c r="O7" s="114"/>
      <c r="P7" s="115">
        <f>SUM(D7:O7)</f>
        <v>402774</v>
      </c>
      <c r="Q7" s="351">
        <f>C7*Q2</f>
        <v>166666.66666666666</v>
      </c>
      <c r="R7" s="353">
        <f>P7-Q7+P8</f>
        <v>236107.33333333334</v>
      </c>
    </row>
    <row r="8" spans="1:19" ht="15.75" x14ac:dyDescent="0.25">
      <c r="A8" s="346"/>
      <c r="B8" s="348"/>
      <c r="C8" s="350"/>
      <c r="D8" s="110"/>
      <c r="E8" s="110"/>
      <c r="F8" s="110"/>
      <c r="G8" s="111"/>
      <c r="H8" s="112"/>
      <c r="I8" s="113"/>
      <c r="J8" s="110"/>
      <c r="K8" s="110"/>
      <c r="L8" s="110"/>
      <c r="M8" s="110"/>
      <c r="N8" s="110"/>
      <c r="O8" s="114"/>
      <c r="P8" s="115">
        <f>SUM(D8:O8)</f>
        <v>0</v>
      </c>
      <c r="Q8" s="352"/>
      <c r="R8" s="354"/>
    </row>
    <row r="9" spans="1:19" ht="31.5" x14ac:dyDescent="0.25">
      <c r="A9" s="106" t="s">
        <v>58</v>
      </c>
      <c r="B9" s="107">
        <v>730000</v>
      </c>
      <c r="C9" s="120">
        <f>B9/12</f>
        <v>60833.333333333336</v>
      </c>
      <c r="D9" s="121">
        <f>40000+20000+20000+3000</f>
        <v>83000</v>
      </c>
      <c r="E9" s="121">
        <f>20000+20000</f>
        <v>40000</v>
      </c>
      <c r="F9" s="121"/>
      <c r="G9" s="122"/>
      <c r="H9" s="123"/>
      <c r="I9" s="123"/>
      <c r="J9" s="121"/>
      <c r="K9" s="123"/>
      <c r="L9" s="123"/>
      <c r="M9" s="123"/>
      <c r="N9" s="123"/>
      <c r="O9" s="124"/>
      <c r="P9" s="115">
        <f>SUM(D9:O9)</f>
        <v>123000</v>
      </c>
      <c r="Q9" s="125">
        <f>C9*Q2</f>
        <v>121666.66666666667</v>
      </c>
      <c r="R9" s="117">
        <f>P9-Q9</f>
        <v>1333.3333333333285</v>
      </c>
    </row>
    <row r="10" spans="1:19" ht="15.75" x14ac:dyDescent="0.25">
      <c r="A10" s="126"/>
      <c r="B10" s="127"/>
      <c r="C10" s="128"/>
      <c r="D10" s="291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30">
        <f t="shared" ref="P10:P34" si="0">SUM(D10:O10)</f>
        <v>0</v>
      </c>
      <c r="Q10" s="131">
        <f>C10*Q2</f>
        <v>0</v>
      </c>
      <c r="R10" s="132">
        <f>P10-Q10</f>
        <v>0</v>
      </c>
    </row>
    <row r="11" spans="1:19" ht="15.75" x14ac:dyDescent="0.25">
      <c r="A11" s="133" t="s">
        <v>59</v>
      </c>
      <c r="B11" s="119">
        <f>SUM(B6:B10)</f>
        <v>42408000</v>
      </c>
      <c r="C11" s="134">
        <f t="shared" ref="C11:O11" si="1">SUM(C6:C10)</f>
        <v>3534000.0000000005</v>
      </c>
      <c r="D11" s="135">
        <f t="shared" si="1"/>
        <v>3296933</v>
      </c>
      <c r="E11" s="135">
        <f t="shared" si="1"/>
        <v>3577395.46</v>
      </c>
      <c r="F11" s="135">
        <f t="shared" si="1"/>
        <v>0</v>
      </c>
      <c r="G11" s="135">
        <f t="shared" si="1"/>
        <v>0</v>
      </c>
      <c r="H11" s="135">
        <f t="shared" si="1"/>
        <v>0</v>
      </c>
      <c r="I11" s="135">
        <f t="shared" si="1"/>
        <v>0</v>
      </c>
      <c r="J11" s="135">
        <f t="shared" si="1"/>
        <v>0</v>
      </c>
      <c r="K11" s="135">
        <f t="shared" si="1"/>
        <v>0</v>
      </c>
      <c r="L11" s="135">
        <f t="shared" si="1"/>
        <v>0</v>
      </c>
      <c r="M11" s="135">
        <f t="shared" si="1"/>
        <v>0</v>
      </c>
      <c r="N11" s="135">
        <f t="shared" si="1"/>
        <v>0</v>
      </c>
      <c r="O11" s="135">
        <f t="shared" si="1"/>
        <v>0</v>
      </c>
      <c r="P11" s="136">
        <f t="shared" si="0"/>
        <v>6874328.46</v>
      </c>
      <c r="Q11" s="137">
        <f>SUM(Q6:Q10)</f>
        <v>7068000.0000000009</v>
      </c>
      <c r="R11" s="138">
        <f>P11-Q11</f>
        <v>-193671.54000000097</v>
      </c>
      <c r="S11" s="139"/>
    </row>
    <row r="12" spans="1:19" ht="15.75" x14ac:dyDescent="0.25">
      <c r="A12" s="140" t="s">
        <v>60</v>
      </c>
      <c r="B12" s="107">
        <f>B11+B5</f>
        <v>43408000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</row>
    <row r="13" spans="1:19" ht="33" customHeight="1" x14ac:dyDescent="0.3">
      <c r="A13" s="142" t="s">
        <v>26</v>
      </c>
      <c r="B13" s="143"/>
      <c r="C13" s="144"/>
      <c r="D13" s="144"/>
      <c r="E13" s="144"/>
      <c r="F13" s="144"/>
      <c r="G13" s="145"/>
      <c r="H13" s="146"/>
      <c r="I13" s="146"/>
      <c r="J13" s="145"/>
      <c r="K13" s="145"/>
      <c r="L13" s="145"/>
      <c r="M13" s="145"/>
      <c r="N13" s="145"/>
      <c r="O13" s="145"/>
      <c r="P13" s="144"/>
      <c r="Q13" s="147"/>
      <c r="R13" s="148" t="s">
        <v>27</v>
      </c>
    </row>
    <row r="14" spans="1:19" ht="15.75" x14ac:dyDescent="0.25">
      <c r="A14" s="149" t="s">
        <v>28</v>
      </c>
      <c r="B14" s="107">
        <v>800000</v>
      </c>
      <c r="C14" s="109">
        <f t="shared" ref="C14:C34" si="2">B14/12</f>
        <v>66666.666666666672</v>
      </c>
      <c r="D14" s="150">
        <f>'общехоз расходы'!B94</f>
        <v>98702.709999999992</v>
      </c>
      <c r="E14" s="150">
        <f>'общехоз расходы'!C94</f>
        <v>126155.17</v>
      </c>
      <c r="F14" s="150">
        <f>'общехоз расходы'!D94</f>
        <v>0</v>
      </c>
      <c r="G14" s="150">
        <f>'общехоз расходы'!E94</f>
        <v>0</v>
      </c>
      <c r="H14" s="150">
        <f>'общехоз расходы'!F94</f>
        <v>0</v>
      </c>
      <c r="I14" s="150">
        <f>'общехоз расходы'!G94</f>
        <v>0</v>
      </c>
      <c r="J14" s="150">
        <f>'общехоз расходы'!H94</f>
        <v>0</v>
      </c>
      <c r="K14" s="150">
        <f>'общехоз расходы'!I94</f>
        <v>0</v>
      </c>
      <c r="L14" s="150">
        <f>'общехоз расходы'!J94</f>
        <v>0</v>
      </c>
      <c r="M14" s="150">
        <f>'общехоз расходы'!K94</f>
        <v>0</v>
      </c>
      <c r="N14" s="150">
        <f>'общехоз расходы'!L94</f>
        <v>0</v>
      </c>
      <c r="O14" s="150">
        <f>'общехоз расходы'!M94</f>
        <v>0</v>
      </c>
      <c r="P14" s="151">
        <f t="shared" si="0"/>
        <v>224857.88</v>
      </c>
      <c r="Q14" s="116">
        <f t="shared" ref="Q14:Q29" si="3">C14*$Q$2</f>
        <v>133333.33333333334</v>
      </c>
      <c r="R14" s="152">
        <f t="shared" ref="R14:R34" si="4">Q14-P14</f>
        <v>-91524.546666666662</v>
      </c>
    </row>
    <row r="15" spans="1:19" ht="15.75" x14ac:dyDescent="0.25">
      <c r="A15" s="102" t="s">
        <v>29</v>
      </c>
      <c r="B15" s="119">
        <v>35000</v>
      </c>
      <c r="C15" s="109">
        <f t="shared" si="2"/>
        <v>2916.6666666666665</v>
      </c>
      <c r="D15" s="153">
        <f>'программ обеспечение'!B10</f>
        <v>0</v>
      </c>
      <c r="E15" s="153">
        <f>'программ обеспечение'!C10</f>
        <v>0</v>
      </c>
      <c r="F15" s="153">
        <f>'программ обеспечение'!D10</f>
        <v>0</v>
      </c>
      <c r="G15" s="153">
        <f>'программ обеспечение'!E10</f>
        <v>0</v>
      </c>
      <c r="H15" s="153">
        <f>'программ обеспечение'!F10</f>
        <v>0</v>
      </c>
      <c r="I15" s="153">
        <f>'программ обеспечение'!G10</f>
        <v>0</v>
      </c>
      <c r="J15" s="150">
        <f>'программ обеспечение'!H10</f>
        <v>0</v>
      </c>
      <c r="K15" s="150">
        <f>'программ обеспечение'!I10</f>
        <v>0</v>
      </c>
      <c r="L15" s="150">
        <f>'программ обеспечение'!J10</f>
        <v>0</v>
      </c>
      <c r="M15" s="150">
        <f>'программ обеспечение'!K10</f>
        <v>0</v>
      </c>
      <c r="N15" s="150">
        <f>'программ обеспечение'!L10</f>
        <v>0</v>
      </c>
      <c r="O15" s="150">
        <f>'программ обеспечение'!M10</f>
        <v>0</v>
      </c>
      <c r="P15" s="115">
        <f t="shared" si="0"/>
        <v>0</v>
      </c>
      <c r="Q15" s="116">
        <f t="shared" si="3"/>
        <v>5833.333333333333</v>
      </c>
      <c r="R15" s="152">
        <f t="shared" si="4"/>
        <v>5833.333333333333</v>
      </c>
    </row>
    <row r="16" spans="1:19" ht="15.75" x14ac:dyDescent="0.25">
      <c r="A16" s="149" t="s">
        <v>30</v>
      </c>
      <c r="B16" s="107">
        <v>140000</v>
      </c>
      <c r="C16" s="109">
        <f t="shared" si="2"/>
        <v>11666.666666666666</v>
      </c>
      <c r="D16" s="150">
        <f>'услуги связи'!B7</f>
        <v>6700</v>
      </c>
      <c r="E16" s="150">
        <f>'услуги связи'!C7</f>
        <v>6700</v>
      </c>
      <c r="F16" s="150">
        <f>'услуги связи'!D7</f>
        <v>0</v>
      </c>
      <c r="G16" s="150">
        <f>'услуги связи'!E7</f>
        <v>0</v>
      </c>
      <c r="H16" s="150">
        <f>'услуги связи'!F7</f>
        <v>0</v>
      </c>
      <c r="I16" s="150">
        <f>'услуги связи'!G7</f>
        <v>0</v>
      </c>
      <c r="J16" s="150">
        <f>'услуги связи'!H7</f>
        <v>0</v>
      </c>
      <c r="K16" s="150">
        <f>'услуги связи'!I7</f>
        <v>0</v>
      </c>
      <c r="L16" s="150">
        <f>'услуги связи'!J7</f>
        <v>0</v>
      </c>
      <c r="M16" s="150">
        <f>'услуги связи'!K7</f>
        <v>0</v>
      </c>
      <c r="N16" s="150">
        <f>'услуги связи'!L7</f>
        <v>0</v>
      </c>
      <c r="O16" s="150">
        <f>'услуги связи'!M7</f>
        <v>0</v>
      </c>
      <c r="P16" s="115">
        <f t="shared" si="0"/>
        <v>13400</v>
      </c>
      <c r="Q16" s="116">
        <f t="shared" si="3"/>
        <v>23333.333333333332</v>
      </c>
      <c r="R16" s="152">
        <f t="shared" si="4"/>
        <v>9933.3333333333321</v>
      </c>
    </row>
    <row r="17" spans="1:22" ht="15.75" x14ac:dyDescent="0.25">
      <c r="A17" s="102" t="s">
        <v>61</v>
      </c>
      <c r="B17" s="119">
        <v>8560000</v>
      </c>
      <c r="C17" s="109">
        <f t="shared" si="2"/>
        <v>713333.33333333337</v>
      </c>
      <c r="D17" s="153">
        <f>'з пл'!B6</f>
        <v>657200.37999999989</v>
      </c>
      <c r="E17" s="153">
        <f>'з пл'!C6</f>
        <v>730270.34</v>
      </c>
      <c r="F17" s="153">
        <f>'з пл'!D6</f>
        <v>0</v>
      </c>
      <c r="G17" s="153">
        <f>'з пл'!E6</f>
        <v>0</v>
      </c>
      <c r="H17" s="154">
        <f>'з пл'!F6</f>
        <v>0</v>
      </c>
      <c r="I17" s="153">
        <f>'з пл'!G6</f>
        <v>0</v>
      </c>
      <c r="J17" s="150">
        <f>'з пл'!H6</f>
        <v>0</v>
      </c>
      <c r="K17" s="150">
        <f>'з пл'!I6</f>
        <v>0</v>
      </c>
      <c r="L17" s="150">
        <f>'з пл'!J6</f>
        <v>0</v>
      </c>
      <c r="M17" s="150">
        <f>'з пл'!K6</f>
        <v>0</v>
      </c>
      <c r="N17" s="150">
        <f>'з пл'!L6</f>
        <v>0</v>
      </c>
      <c r="O17" s="150">
        <f>'з пл'!M6</f>
        <v>0</v>
      </c>
      <c r="P17" s="115">
        <f t="shared" si="0"/>
        <v>1387470.7199999997</v>
      </c>
      <c r="Q17" s="116">
        <f t="shared" si="3"/>
        <v>1426666.6666666667</v>
      </c>
      <c r="R17" s="152">
        <f t="shared" si="4"/>
        <v>39195.946666667005</v>
      </c>
    </row>
    <row r="18" spans="1:22" ht="15.75" x14ac:dyDescent="0.25">
      <c r="A18" s="102" t="s">
        <v>33</v>
      </c>
      <c r="B18" s="119">
        <v>400000</v>
      </c>
      <c r="C18" s="109" t="s">
        <v>66</v>
      </c>
      <c r="D18" s="153">
        <f>'премиальный фонд'!B5</f>
        <v>0</v>
      </c>
      <c r="E18" s="153">
        <f>'премиальный фонд'!C5</f>
        <v>0</v>
      </c>
      <c r="F18" s="153">
        <f>'премиальный фонд'!D5</f>
        <v>0</v>
      </c>
      <c r="G18" s="153">
        <f>'премиальный фонд'!E5</f>
        <v>0</v>
      </c>
      <c r="H18" s="154">
        <f>'премиальный фонд'!F5</f>
        <v>0</v>
      </c>
      <c r="I18" s="153">
        <f>'премиальный фонд'!G5</f>
        <v>0</v>
      </c>
      <c r="J18" s="153">
        <f>'премиальный фонд'!H5</f>
        <v>0</v>
      </c>
      <c r="K18" s="153">
        <f>'премиальный фонд'!I5</f>
        <v>0</v>
      </c>
      <c r="L18" s="153">
        <f>'премиальный фонд'!J5</f>
        <v>0</v>
      </c>
      <c r="M18" s="153">
        <f>'премиальный фонд'!K5</f>
        <v>0</v>
      </c>
      <c r="N18" s="150">
        <f>'премиальный фонд'!L5</f>
        <v>0</v>
      </c>
      <c r="O18" s="150">
        <f>'премиальный фонд'!M5</f>
        <v>0</v>
      </c>
      <c r="P18" s="115">
        <f t="shared" si="0"/>
        <v>0</v>
      </c>
      <c r="Q18" s="155">
        <f>B18</f>
        <v>400000</v>
      </c>
      <c r="R18" s="152">
        <f t="shared" si="4"/>
        <v>400000</v>
      </c>
    </row>
    <row r="19" spans="1:22" ht="15.75" x14ac:dyDescent="0.25">
      <c r="A19" s="102" t="s">
        <v>34</v>
      </c>
      <c r="B19" s="119">
        <v>2700000</v>
      </c>
      <c r="C19" s="109">
        <f t="shared" si="2"/>
        <v>225000</v>
      </c>
      <c r="D19" s="153">
        <f>'налог с ФОТ'!B6</f>
        <v>310824.7</v>
      </c>
      <c r="E19" s="153">
        <f>'налог с ФОТ'!C6</f>
        <v>178176.03</v>
      </c>
      <c r="F19" s="153">
        <f>'налог с ФОТ'!D6</f>
        <v>0</v>
      </c>
      <c r="G19" s="153">
        <f>'налог с ФОТ'!E6</f>
        <v>0</v>
      </c>
      <c r="H19" s="154">
        <f>'налог с ФОТ'!F6</f>
        <v>0</v>
      </c>
      <c r="I19" s="154">
        <f>'налог с ФОТ'!G6</f>
        <v>0</v>
      </c>
      <c r="J19" s="153">
        <f>'налог с ФОТ'!H6</f>
        <v>0</v>
      </c>
      <c r="K19" s="153">
        <f>'налог с ФОТ'!I6</f>
        <v>0</v>
      </c>
      <c r="L19" s="153">
        <f>'налог с ФОТ'!J6</f>
        <v>0</v>
      </c>
      <c r="M19" s="153">
        <f>'налог с ФОТ'!K6</f>
        <v>0</v>
      </c>
      <c r="N19" s="150">
        <f>'налог с ФОТ'!L6</f>
        <v>0</v>
      </c>
      <c r="O19" s="150">
        <f>'налог с ФОТ'!M6</f>
        <v>0</v>
      </c>
      <c r="P19" s="115">
        <f t="shared" si="0"/>
        <v>489000.73</v>
      </c>
      <c r="Q19" s="116">
        <f t="shared" si="3"/>
        <v>450000</v>
      </c>
      <c r="R19" s="152">
        <f t="shared" si="4"/>
        <v>-39000.729999999981</v>
      </c>
    </row>
    <row r="20" spans="1:22" ht="15.75" x14ac:dyDescent="0.25">
      <c r="A20" s="102" t="s">
        <v>35</v>
      </c>
      <c r="B20" s="119">
        <v>150000</v>
      </c>
      <c r="C20" s="109">
        <f t="shared" si="2"/>
        <v>12500</v>
      </c>
      <c r="D20" s="153">
        <f>инвентарь!B27</f>
        <v>8650</v>
      </c>
      <c r="E20" s="153">
        <f>инвентарь!C27</f>
        <v>14935</v>
      </c>
      <c r="F20" s="153">
        <f>инвентарь!D27</f>
        <v>0</v>
      </c>
      <c r="G20" s="153">
        <f>инвентарь!E27</f>
        <v>0</v>
      </c>
      <c r="H20" s="153">
        <f>инвентарь!F27</f>
        <v>0</v>
      </c>
      <c r="I20" s="153">
        <f>инвентарь!G27</f>
        <v>0</v>
      </c>
      <c r="J20" s="153">
        <f>инвентарь!H27</f>
        <v>0</v>
      </c>
      <c r="K20" s="153">
        <f>инвентарь!I27</f>
        <v>0</v>
      </c>
      <c r="L20" s="153">
        <f>инвентарь!J27</f>
        <v>0</v>
      </c>
      <c r="M20" s="153">
        <f>инвентарь!K27</f>
        <v>0</v>
      </c>
      <c r="N20" s="153">
        <f>инвентарь!L27</f>
        <v>0</v>
      </c>
      <c r="O20" s="153">
        <f>инвентарь!M27</f>
        <v>0</v>
      </c>
      <c r="P20" s="115">
        <f t="shared" si="0"/>
        <v>23585</v>
      </c>
      <c r="Q20" s="116">
        <f t="shared" si="3"/>
        <v>25000</v>
      </c>
      <c r="R20" s="152">
        <f t="shared" si="4"/>
        <v>1415</v>
      </c>
    </row>
    <row r="21" spans="1:22" ht="15.75" x14ac:dyDescent="0.25">
      <c r="A21" s="149" t="s">
        <v>36</v>
      </c>
      <c r="B21" s="107">
        <v>5900000</v>
      </c>
      <c r="C21" s="109">
        <f t="shared" si="2"/>
        <v>491666.66666666669</v>
      </c>
      <c r="D21" s="150">
        <f>мусор!B10</f>
        <v>454017.63</v>
      </c>
      <c r="E21" s="150">
        <f>мусор!C10</f>
        <v>501017.63</v>
      </c>
      <c r="F21" s="150">
        <f>мусор!D10</f>
        <v>0</v>
      </c>
      <c r="G21" s="150">
        <f>мусор!E10</f>
        <v>0</v>
      </c>
      <c r="H21" s="150">
        <f>мусор!F10</f>
        <v>0</v>
      </c>
      <c r="I21" s="150">
        <f>мусор!G10</f>
        <v>0</v>
      </c>
      <c r="J21" s="150">
        <f>мусор!H10</f>
        <v>0</v>
      </c>
      <c r="K21" s="150">
        <f>мусор!I10</f>
        <v>0</v>
      </c>
      <c r="L21" s="150">
        <f>мусор!J10</f>
        <v>0</v>
      </c>
      <c r="M21" s="150">
        <f>мусор!K10</f>
        <v>0</v>
      </c>
      <c r="N21" s="150">
        <f>мусор!L10</f>
        <v>0</v>
      </c>
      <c r="O21" s="150">
        <f>мусор!M10</f>
        <v>0</v>
      </c>
      <c r="P21" s="115">
        <f t="shared" si="0"/>
        <v>955035.26</v>
      </c>
      <c r="Q21" s="116">
        <f t="shared" si="3"/>
        <v>983333.33333333337</v>
      </c>
      <c r="R21" s="152">
        <f t="shared" si="4"/>
        <v>28298.073333333363</v>
      </c>
    </row>
    <row r="22" spans="1:22" ht="15.75" x14ac:dyDescent="0.25">
      <c r="A22" s="149" t="s">
        <v>37</v>
      </c>
      <c r="B22" s="107">
        <v>7800000</v>
      </c>
      <c r="C22" s="109">
        <f t="shared" si="2"/>
        <v>650000</v>
      </c>
      <c r="D22" s="150">
        <v>600000</v>
      </c>
      <c r="E22" s="150">
        <v>650400</v>
      </c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15">
        <f t="shared" si="0"/>
        <v>1250400</v>
      </c>
      <c r="Q22" s="116">
        <f t="shared" si="3"/>
        <v>1300000</v>
      </c>
      <c r="R22" s="152">
        <f t="shared" si="4"/>
        <v>49600</v>
      </c>
    </row>
    <row r="23" spans="1:22" ht="15.75" x14ac:dyDescent="0.25">
      <c r="A23" s="102" t="s">
        <v>38</v>
      </c>
      <c r="B23" s="119">
        <v>130000</v>
      </c>
      <c r="C23" s="109">
        <f t="shared" si="2"/>
        <v>10833.333333333334</v>
      </c>
      <c r="D23" s="153">
        <f>газ!B6</f>
        <v>0</v>
      </c>
      <c r="E23" s="153">
        <f>газ!C6</f>
        <v>0</v>
      </c>
      <c r="F23" s="153">
        <f>газ!D6</f>
        <v>0</v>
      </c>
      <c r="G23" s="153">
        <f>газ!E6</f>
        <v>0</v>
      </c>
      <c r="H23" s="153">
        <f>газ!F6</f>
        <v>0</v>
      </c>
      <c r="I23" s="153">
        <f>газ!G6</f>
        <v>0</v>
      </c>
      <c r="J23" s="153">
        <f>газ!H6</f>
        <v>0</v>
      </c>
      <c r="K23" s="153">
        <f>газ!I6</f>
        <v>0</v>
      </c>
      <c r="L23" s="153">
        <f>газ!J6</f>
        <v>0</v>
      </c>
      <c r="M23" s="153">
        <f>газ!K6</f>
        <v>0</v>
      </c>
      <c r="N23" s="153">
        <f>газ!L6</f>
        <v>0</v>
      </c>
      <c r="O23" s="153">
        <f>газ!M6</f>
        <v>0</v>
      </c>
      <c r="P23" s="115">
        <f t="shared" si="0"/>
        <v>0</v>
      </c>
      <c r="Q23" s="116">
        <f t="shared" si="3"/>
        <v>21666.666666666668</v>
      </c>
      <c r="R23" s="152">
        <f t="shared" si="4"/>
        <v>21666.666666666668</v>
      </c>
    </row>
    <row r="24" spans="1:22" ht="15.75" x14ac:dyDescent="0.25">
      <c r="A24" s="149" t="s">
        <v>39</v>
      </c>
      <c r="B24" s="107">
        <v>200000</v>
      </c>
      <c r="C24" s="109">
        <f t="shared" si="2"/>
        <v>16666.666666666668</v>
      </c>
      <c r="D24" s="150">
        <f>вода!B30</f>
        <v>0</v>
      </c>
      <c r="E24" s="150">
        <f>вода!C30</f>
        <v>74532</v>
      </c>
      <c r="F24" s="150">
        <f>вода!D30</f>
        <v>0</v>
      </c>
      <c r="G24" s="150">
        <f>вода!E30</f>
        <v>0</v>
      </c>
      <c r="H24" s="150">
        <f>вода!F30</f>
        <v>0</v>
      </c>
      <c r="I24" s="150">
        <f>вода!G30</f>
        <v>0</v>
      </c>
      <c r="J24" s="150">
        <f>вода!H30</f>
        <v>0</v>
      </c>
      <c r="K24" s="150">
        <f>вода!I30</f>
        <v>0</v>
      </c>
      <c r="L24" s="150">
        <f>вода!J30</f>
        <v>0</v>
      </c>
      <c r="M24" s="150">
        <f>вода!K30</f>
        <v>0</v>
      </c>
      <c r="N24" s="150">
        <f>вода!L30</f>
        <v>0</v>
      </c>
      <c r="O24" s="150">
        <f>вода!M30</f>
        <v>0</v>
      </c>
      <c r="P24" s="115">
        <f t="shared" si="0"/>
        <v>74532</v>
      </c>
      <c r="Q24" s="116">
        <f t="shared" si="3"/>
        <v>33333.333333333336</v>
      </c>
      <c r="R24" s="152">
        <f t="shared" si="4"/>
        <v>-41198.666666666664</v>
      </c>
    </row>
    <row r="25" spans="1:22" ht="15.75" x14ac:dyDescent="0.25">
      <c r="A25" s="149" t="s">
        <v>62</v>
      </c>
      <c r="B25" s="107">
        <v>450000</v>
      </c>
      <c r="C25" s="109">
        <f t="shared" si="2"/>
        <v>37500</v>
      </c>
      <c r="D25" s="150">
        <f>канализация!B38</f>
        <v>1956</v>
      </c>
      <c r="E25" s="150">
        <f>канализация!C38</f>
        <v>44800</v>
      </c>
      <c r="F25" s="150">
        <f>канализация!D38</f>
        <v>0</v>
      </c>
      <c r="G25" s="150">
        <f>канализация!E38</f>
        <v>0</v>
      </c>
      <c r="H25" s="150">
        <f>канализация!F38</f>
        <v>0</v>
      </c>
      <c r="I25" s="150">
        <f>канализация!G38</f>
        <v>0</v>
      </c>
      <c r="J25" s="150">
        <f>канализация!H38</f>
        <v>0</v>
      </c>
      <c r="K25" s="150">
        <f>канализация!I38</f>
        <v>0</v>
      </c>
      <c r="L25" s="150">
        <f>канализация!J38</f>
        <v>0</v>
      </c>
      <c r="M25" s="150">
        <f>канализация!K38</f>
        <v>0</v>
      </c>
      <c r="N25" s="150">
        <f>канализация!L38</f>
        <v>0</v>
      </c>
      <c r="O25" s="150">
        <f>канализация!M38</f>
        <v>0</v>
      </c>
      <c r="P25" s="115">
        <f t="shared" si="0"/>
        <v>46756</v>
      </c>
      <c r="Q25" s="116">
        <f t="shared" si="3"/>
        <v>75000</v>
      </c>
      <c r="R25" s="152">
        <f t="shared" si="4"/>
        <v>28244</v>
      </c>
    </row>
    <row r="26" spans="1:22" ht="15.75" x14ac:dyDescent="0.25">
      <c r="A26" s="149" t="s">
        <v>63</v>
      </c>
      <c r="B26" s="107">
        <v>1900000</v>
      </c>
      <c r="C26" s="109">
        <f t="shared" si="2"/>
        <v>158333.33333333334</v>
      </c>
      <c r="D26" s="150">
        <f>электроснабжение!B49</f>
        <v>208004.6</v>
      </c>
      <c r="E26" s="150">
        <f>электроснабжение!C49</f>
        <v>150336.35</v>
      </c>
      <c r="F26" s="150">
        <f>электроснабжение!D49</f>
        <v>0</v>
      </c>
      <c r="G26" s="150">
        <f>электроснабжение!E49</f>
        <v>0</v>
      </c>
      <c r="H26" s="150">
        <f>электроснабжение!F49</f>
        <v>0</v>
      </c>
      <c r="I26" s="150">
        <f>электроснабжение!G49</f>
        <v>0</v>
      </c>
      <c r="J26" s="150">
        <f>электроснабжение!H49</f>
        <v>0</v>
      </c>
      <c r="K26" s="150">
        <f>электроснабжение!I49</f>
        <v>0</v>
      </c>
      <c r="L26" s="150">
        <f>электроснабжение!J49</f>
        <v>0</v>
      </c>
      <c r="M26" s="150">
        <f>электроснабжение!K49</f>
        <v>0</v>
      </c>
      <c r="N26" s="150">
        <f>электроснабжение!L49</f>
        <v>0</v>
      </c>
      <c r="O26" s="150">
        <f>электроснабжение!M49</f>
        <v>0</v>
      </c>
      <c r="P26" s="115">
        <f t="shared" si="0"/>
        <v>358340.95</v>
      </c>
      <c r="Q26" s="116">
        <f t="shared" si="3"/>
        <v>316666.66666666669</v>
      </c>
      <c r="R26" s="152">
        <f t="shared" si="4"/>
        <v>-41674.283333333326</v>
      </c>
      <c r="V26" t="s">
        <v>64</v>
      </c>
    </row>
    <row r="27" spans="1:22" ht="15.75" x14ac:dyDescent="0.25">
      <c r="A27" s="149" t="s">
        <v>44</v>
      </c>
      <c r="B27" s="107">
        <v>400000</v>
      </c>
      <c r="C27" s="109">
        <f t="shared" si="2"/>
        <v>33333.333333333336</v>
      </c>
      <c r="D27" s="150">
        <f>'дор и терр'!B38</f>
        <v>13132</v>
      </c>
      <c r="E27" s="150">
        <f>'дор и терр'!C38</f>
        <v>38440</v>
      </c>
      <c r="F27" s="150">
        <f>'дор и терр'!D38</f>
        <v>0</v>
      </c>
      <c r="G27" s="150">
        <f>'дор и терр'!E38</f>
        <v>0</v>
      </c>
      <c r="H27" s="150">
        <f>'дор и терр'!F38</f>
        <v>0</v>
      </c>
      <c r="I27" s="150">
        <f>'дор и терр'!G38</f>
        <v>0</v>
      </c>
      <c r="J27" s="150">
        <f>'дор и терр'!H38</f>
        <v>0</v>
      </c>
      <c r="K27" s="150">
        <f>'дор и терр'!I38</f>
        <v>0</v>
      </c>
      <c r="L27" s="150">
        <f>'дор и терр'!J38</f>
        <v>0</v>
      </c>
      <c r="M27" s="150">
        <f>'дор и терр'!K38</f>
        <v>0</v>
      </c>
      <c r="N27" s="150">
        <f>'дор и терр'!L38</f>
        <v>0</v>
      </c>
      <c r="O27" s="150">
        <f>'дор и терр'!M38</f>
        <v>0</v>
      </c>
      <c r="P27" s="115">
        <f t="shared" si="0"/>
        <v>51572</v>
      </c>
      <c r="Q27" s="116">
        <f t="shared" si="3"/>
        <v>66666.666666666672</v>
      </c>
      <c r="R27" s="152">
        <f t="shared" si="4"/>
        <v>15094.666666666672</v>
      </c>
    </row>
    <row r="28" spans="1:22" ht="15.75" x14ac:dyDescent="0.25">
      <c r="A28" s="149" t="s">
        <v>65</v>
      </c>
      <c r="B28" s="107">
        <v>800000</v>
      </c>
      <c r="C28" s="109" t="s">
        <v>66</v>
      </c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15">
        <f t="shared" si="0"/>
        <v>0</v>
      </c>
      <c r="Q28" s="155">
        <f>B28</f>
        <v>800000</v>
      </c>
      <c r="R28" s="152">
        <f t="shared" si="4"/>
        <v>800000</v>
      </c>
    </row>
    <row r="29" spans="1:22" ht="15.75" x14ac:dyDescent="0.25">
      <c r="A29" s="149" t="s">
        <v>45</v>
      </c>
      <c r="B29" s="107">
        <v>250000</v>
      </c>
      <c r="C29" s="109">
        <f t="shared" si="2"/>
        <v>20833.333333333332</v>
      </c>
      <c r="D29" s="150">
        <f>благоустройство!B64</f>
        <v>76944</v>
      </c>
      <c r="E29" s="150">
        <f>благоустройство!C64</f>
        <v>44149.599999999999</v>
      </c>
      <c r="F29" s="150">
        <f>благоустройство!D64</f>
        <v>0</v>
      </c>
      <c r="G29" s="150">
        <f>благоустройство!E64</f>
        <v>0</v>
      </c>
      <c r="H29" s="150">
        <f>благоустройство!F64</f>
        <v>0</v>
      </c>
      <c r="I29" s="150">
        <f>благоустройство!G64</f>
        <v>0</v>
      </c>
      <c r="J29" s="150">
        <f>благоустройство!H64</f>
        <v>0</v>
      </c>
      <c r="K29" s="150">
        <f>благоустройство!I64</f>
        <v>0</v>
      </c>
      <c r="L29" s="150">
        <f>благоустройство!J64</f>
        <v>0</v>
      </c>
      <c r="M29" s="150">
        <f>благоустройство!K64</f>
        <v>0</v>
      </c>
      <c r="N29" s="150">
        <f>благоустройство!L64</f>
        <v>0</v>
      </c>
      <c r="O29" s="150">
        <f>благоустройство!M64</f>
        <v>0</v>
      </c>
      <c r="P29" s="115">
        <f t="shared" si="0"/>
        <v>121093.6</v>
      </c>
      <c r="Q29" s="116">
        <f t="shared" si="3"/>
        <v>41666.666666666664</v>
      </c>
      <c r="R29" s="152">
        <f t="shared" si="4"/>
        <v>-79426.933333333349</v>
      </c>
    </row>
    <row r="30" spans="1:22" ht="15.75" x14ac:dyDescent="0.25">
      <c r="A30" s="149" t="s">
        <v>67</v>
      </c>
      <c r="B30" s="107">
        <v>770000</v>
      </c>
      <c r="C30" s="109" t="s">
        <v>66</v>
      </c>
      <c r="D30" s="150">
        <f>669900+100100</f>
        <v>770000</v>
      </c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15">
        <f t="shared" si="0"/>
        <v>770000</v>
      </c>
      <c r="Q30" s="155">
        <f>B30</f>
        <v>770000</v>
      </c>
      <c r="R30" s="152">
        <f t="shared" si="4"/>
        <v>0</v>
      </c>
    </row>
    <row r="31" spans="1:22" ht="15.75" x14ac:dyDescent="0.25">
      <c r="A31" s="156" t="s">
        <v>68</v>
      </c>
      <c r="B31" s="118">
        <v>230000</v>
      </c>
      <c r="C31" s="157" t="s">
        <v>66</v>
      </c>
      <c r="D31" s="158">
        <v>231000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15">
        <f t="shared" si="0"/>
        <v>231000</v>
      </c>
      <c r="Q31" s="155">
        <f>B31</f>
        <v>230000</v>
      </c>
      <c r="R31" s="152">
        <f t="shared" si="4"/>
        <v>-1000</v>
      </c>
    </row>
    <row r="32" spans="1:22" ht="15.75" x14ac:dyDescent="0.25">
      <c r="A32" s="149" t="s">
        <v>147</v>
      </c>
      <c r="B32" s="107">
        <f>110000</f>
        <v>110000</v>
      </c>
      <c r="C32" s="109" t="s">
        <v>66</v>
      </c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15">
        <f t="shared" ref="P32" si="5">SUM(D32:O32)</f>
        <v>0</v>
      </c>
      <c r="Q32" s="155">
        <f>B32</f>
        <v>110000</v>
      </c>
      <c r="R32" s="152">
        <f t="shared" ref="R32" si="6">Q32-P32</f>
        <v>110000</v>
      </c>
    </row>
    <row r="33" spans="1:19" ht="15.75" x14ac:dyDescent="0.25">
      <c r="A33" s="156" t="s">
        <v>148</v>
      </c>
      <c r="B33" s="107">
        <v>35000</v>
      </c>
      <c r="C33" s="109" t="s">
        <v>66</v>
      </c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15">
        <f t="shared" si="0"/>
        <v>0</v>
      </c>
      <c r="Q33" s="155">
        <f>B33</f>
        <v>35000</v>
      </c>
      <c r="R33" s="152">
        <f t="shared" si="4"/>
        <v>35000</v>
      </c>
    </row>
    <row r="34" spans="1:19" ht="15.75" x14ac:dyDescent="0.25">
      <c r="A34" s="149" t="s">
        <v>47</v>
      </c>
      <c r="B34" s="107">
        <v>1588000</v>
      </c>
      <c r="C34" s="109">
        <f t="shared" si="2"/>
        <v>132333.33333333334</v>
      </c>
      <c r="D34" s="150">
        <f>'резервный фонд'!B66</f>
        <v>0</v>
      </c>
      <c r="E34" s="150">
        <f>'резервный фонд'!C66</f>
        <v>331597.45999999996</v>
      </c>
      <c r="F34" s="150">
        <f>'резервный фонд'!D66</f>
        <v>0</v>
      </c>
      <c r="G34" s="150">
        <f>'резервный фонд'!E66</f>
        <v>0</v>
      </c>
      <c r="H34" s="150">
        <f>'резервный фонд'!F66</f>
        <v>0</v>
      </c>
      <c r="I34" s="150">
        <f>'резервный фонд'!G66</f>
        <v>0</v>
      </c>
      <c r="J34" s="150">
        <f>'резервный фонд'!H66</f>
        <v>0</v>
      </c>
      <c r="K34" s="150">
        <f>'резервный фонд'!I66</f>
        <v>0</v>
      </c>
      <c r="L34" s="150">
        <f>'резервный фонд'!J66</f>
        <v>0</v>
      </c>
      <c r="M34" s="150">
        <f>'резервный фонд'!K66</f>
        <v>0</v>
      </c>
      <c r="N34" s="150">
        <f>'резервный фонд'!L66</f>
        <v>0</v>
      </c>
      <c r="O34" s="150">
        <f>'резервный фонд'!M66</f>
        <v>0</v>
      </c>
      <c r="P34" s="115">
        <f t="shared" si="0"/>
        <v>331597.45999999996</v>
      </c>
      <c r="Q34" s="115">
        <f>C34*Q2</f>
        <v>264666.66666666669</v>
      </c>
      <c r="R34" s="152">
        <f t="shared" si="4"/>
        <v>-66930.793333333277</v>
      </c>
      <c r="S34" s="86"/>
    </row>
    <row r="35" spans="1:19" ht="31.5" x14ac:dyDescent="0.25">
      <c r="A35" s="140" t="s">
        <v>69</v>
      </c>
      <c r="B35" s="151">
        <f>SUM(B14:B34)</f>
        <v>33348000</v>
      </c>
      <c r="C35" s="151">
        <f>SUM(C14:C34)</f>
        <v>2583583.333333334</v>
      </c>
      <c r="D35" s="151">
        <f t="shared" ref="D35:R35" si="7">SUM(D14:D34)</f>
        <v>3437132.02</v>
      </c>
      <c r="E35" s="151">
        <f t="shared" si="7"/>
        <v>2891509.58</v>
      </c>
      <c r="F35" s="151">
        <f t="shared" si="7"/>
        <v>0</v>
      </c>
      <c r="G35" s="151">
        <f t="shared" si="7"/>
        <v>0</v>
      </c>
      <c r="H35" s="151">
        <f t="shared" si="7"/>
        <v>0</v>
      </c>
      <c r="I35" s="151">
        <f t="shared" si="7"/>
        <v>0</v>
      </c>
      <c r="J35" s="151">
        <f t="shared" si="7"/>
        <v>0</v>
      </c>
      <c r="K35" s="151">
        <f t="shared" si="7"/>
        <v>0</v>
      </c>
      <c r="L35" s="151">
        <f t="shared" si="7"/>
        <v>0</v>
      </c>
      <c r="M35" s="151">
        <f t="shared" si="7"/>
        <v>0</v>
      </c>
      <c r="N35" s="151">
        <f t="shared" si="7"/>
        <v>0</v>
      </c>
      <c r="O35" s="151">
        <f t="shared" si="7"/>
        <v>0</v>
      </c>
      <c r="P35" s="151">
        <f t="shared" si="7"/>
        <v>6328641.5999999996</v>
      </c>
      <c r="Q35" s="151">
        <f>SUM(Q14:Q34)</f>
        <v>7512166.6666666679</v>
      </c>
      <c r="R35" s="151">
        <f t="shared" si="7"/>
        <v>1183525.0666666671</v>
      </c>
      <c r="S35" s="86"/>
    </row>
    <row r="36" spans="1:19" ht="31.5" x14ac:dyDescent="0.25">
      <c r="A36" s="140" t="s">
        <v>70</v>
      </c>
      <c r="B36" s="151">
        <f>SUM(B37:B46)</f>
        <v>10060000</v>
      </c>
      <c r="C36" s="151" t="s">
        <v>66</v>
      </c>
      <c r="D36" s="151">
        <f>SUM(D37:D46)</f>
        <v>0</v>
      </c>
      <c r="E36" s="151">
        <f t="shared" ref="E36:O36" si="8">SUM(E37:E46)</f>
        <v>814575</v>
      </c>
      <c r="F36" s="151">
        <f t="shared" si="8"/>
        <v>0</v>
      </c>
      <c r="G36" s="151">
        <f t="shared" si="8"/>
        <v>0</v>
      </c>
      <c r="H36" s="151">
        <f t="shared" si="8"/>
        <v>0</v>
      </c>
      <c r="I36" s="151">
        <f t="shared" si="8"/>
        <v>0</v>
      </c>
      <c r="J36" s="151">
        <f t="shared" si="8"/>
        <v>0</v>
      </c>
      <c r="K36" s="151">
        <f t="shared" si="8"/>
        <v>0</v>
      </c>
      <c r="L36" s="151">
        <f t="shared" si="8"/>
        <v>0</v>
      </c>
      <c r="M36" s="151">
        <f t="shared" si="8"/>
        <v>0</v>
      </c>
      <c r="N36" s="151">
        <f t="shared" si="8"/>
        <v>0</v>
      </c>
      <c r="O36" s="151">
        <f t="shared" si="8"/>
        <v>0</v>
      </c>
      <c r="P36" s="151">
        <f>SUM(P37:P46)</f>
        <v>814575</v>
      </c>
      <c r="Q36" s="298">
        <f>B36</f>
        <v>10060000</v>
      </c>
      <c r="R36" s="151">
        <f>SUM(R38:R46)</f>
        <v>5145425</v>
      </c>
      <c r="S36" s="86"/>
    </row>
    <row r="37" spans="1:19" ht="15.75" x14ac:dyDescent="0.25">
      <c r="A37" s="102" t="s">
        <v>71</v>
      </c>
      <c r="B37" s="119">
        <v>4100000</v>
      </c>
      <c r="C37" s="159" t="s">
        <v>66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>
        <v>0</v>
      </c>
      <c r="P37" s="115">
        <f t="shared" ref="P37:P46" si="9">SUM(D37:O37)</f>
        <v>0</v>
      </c>
      <c r="Q37" s="155">
        <f>B37</f>
        <v>4100000</v>
      </c>
      <c r="R37" s="160">
        <f t="shared" ref="R37:R46" si="10">B37-P37</f>
        <v>4100000</v>
      </c>
    </row>
    <row r="38" spans="1:19" ht="30" x14ac:dyDescent="0.25">
      <c r="A38" s="102" t="s">
        <v>72</v>
      </c>
      <c r="B38" s="119">
        <v>280000</v>
      </c>
      <c r="C38" s="159" t="s">
        <v>66</v>
      </c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15">
        <f t="shared" si="9"/>
        <v>0</v>
      </c>
      <c r="Q38" s="155">
        <f t="shared" ref="Q38:Q47" si="11">B38</f>
        <v>280000</v>
      </c>
      <c r="R38" s="160">
        <f t="shared" si="10"/>
        <v>280000</v>
      </c>
    </row>
    <row r="39" spans="1:19" ht="15.75" x14ac:dyDescent="0.25">
      <c r="A39" s="149" t="s">
        <v>142</v>
      </c>
      <c r="B39" s="107">
        <v>3200000</v>
      </c>
      <c r="C39" s="109" t="s">
        <v>66</v>
      </c>
      <c r="D39" s="150"/>
      <c r="E39" s="150">
        <f>741400+55485+17690</f>
        <v>814575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15">
        <f t="shared" ref="P39" si="12">SUM(D39:O39)</f>
        <v>814575</v>
      </c>
      <c r="Q39" s="155">
        <f t="shared" ref="Q39" si="13">B39</f>
        <v>3200000</v>
      </c>
      <c r="R39" s="152">
        <f t="shared" ref="R39" si="14">B39-P39</f>
        <v>2385425</v>
      </c>
    </row>
    <row r="40" spans="1:19" ht="15.75" x14ac:dyDescent="0.25">
      <c r="A40" s="149" t="s">
        <v>73</v>
      </c>
      <c r="B40" s="107">
        <v>150000</v>
      </c>
      <c r="C40" s="109" t="s">
        <v>66</v>
      </c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15">
        <f t="shared" si="9"/>
        <v>0</v>
      </c>
      <c r="Q40" s="155">
        <f t="shared" si="11"/>
        <v>150000</v>
      </c>
      <c r="R40" s="152">
        <f t="shared" si="10"/>
        <v>150000</v>
      </c>
    </row>
    <row r="41" spans="1:19" ht="15.75" x14ac:dyDescent="0.25">
      <c r="A41" s="149" t="s">
        <v>146</v>
      </c>
      <c r="B41" s="107">
        <v>700000</v>
      </c>
      <c r="C41" s="109" t="s">
        <v>66</v>
      </c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15">
        <f t="shared" si="9"/>
        <v>0</v>
      </c>
      <c r="Q41" s="155">
        <f t="shared" si="11"/>
        <v>700000</v>
      </c>
      <c r="R41" s="152">
        <f t="shared" si="10"/>
        <v>700000</v>
      </c>
    </row>
    <row r="42" spans="1:19" ht="30" x14ac:dyDescent="0.25">
      <c r="A42" s="149" t="s">
        <v>143</v>
      </c>
      <c r="B42" s="107">
        <v>500000</v>
      </c>
      <c r="C42" s="109" t="s">
        <v>66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15">
        <f t="shared" si="9"/>
        <v>0</v>
      </c>
      <c r="Q42" s="155">
        <f t="shared" si="11"/>
        <v>500000</v>
      </c>
      <c r="R42" s="152">
        <f t="shared" si="10"/>
        <v>500000</v>
      </c>
    </row>
    <row r="43" spans="1:19" ht="30" x14ac:dyDescent="0.25">
      <c r="A43" s="149" t="s">
        <v>149</v>
      </c>
      <c r="B43" s="107">
        <v>400000</v>
      </c>
      <c r="C43" s="109" t="s">
        <v>66</v>
      </c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15">
        <f t="shared" ref="P43:P44" si="15">SUM(D43:O43)</f>
        <v>0</v>
      </c>
      <c r="Q43" s="155">
        <f t="shared" ref="Q43:Q44" si="16">B43</f>
        <v>400000</v>
      </c>
      <c r="R43" s="152">
        <f t="shared" ref="R43:R44" si="17">B43-P43</f>
        <v>400000</v>
      </c>
    </row>
    <row r="44" spans="1:19" ht="15.75" x14ac:dyDescent="0.25">
      <c r="A44" s="149" t="s">
        <v>74</v>
      </c>
      <c r="B44" s="107">
        <v>230000</v>
      </c>
      <c r="C44" s="109" t="s">
        <v>66</v>
      </c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15">
        <f t="shared" si="15"/>
        <v>0</v>
      </c>
      <c r="Q44" s="155">
        <f t="shared" si="16"/>
        <v>230000</v>
      </c>
      <c r="R44" s="152">
        <f t="shared" si="17"/>
        <v>230000</v>
      </c>
    </row>
    <row r="45" spans="1:19" ht="15.75" x14ac:dyDescent="0.25">
      <c r="A45" s="149" t="s">
        <v>145</v>
      </c>
      <c r="B45" s="107">
        <v>300000</v>
      </c>
      <c r="C45" s="109" t="s">
        <v>66</v>
      </c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15">
        <f t="shared" si="9"/>
        <v>0</v>
      </c>
      <c r="Q45" s="155">
        <f t="shared" si="11"/>
        <v>300000</v>
      </c>
      <c r="R45" s="152">
        <f t="shared" si="10"/>
        <v>300000</v>
      </c>
    </row>
    <row r="46" spans="1:19" ht="15.75" x14ac:dyDescent="0.25">
      <c r="A46" s="156" t="s">
        <v>144</v>
      </c>
      <c r="B46" s="127">
        <v>200000</v>
      </c>
      <c r="C46" s="128" t="s">
        <v>66</v>
      </c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30">
        <f t="shared" si="9"/>
        <v>0</v>
      </c>
      <c r="Q46" s="162">
        <f t="shared" si="11"/>
        <v>200000</v>
      </c>
      <c r="R46" s="163">
        <f t="shared" si="10"/>
        <v>200000</v>
      </c>
    </row>
    <row r="47" spans="1:19" ht="15.75" x14ac:dyDescent="0.25">
      <c r="A47" s="164" t="s">
        <v>48</v>
      </c>
      <c r="B47" s="165">
        <f>B35+B36</f>
        <v>43408000</v>
      </c>
      <c r="C47" s="165"/>
      <c r="D47" s="165">
        <f t="shared" ref="D47:R47" si="18">D35+D36</f>
        <v>3437132.02</v>
      </c>
      <c r="E47" s="165">
        <f t="shared" si="18"/>
        <v>3706084.58</v>
      </c>
      <c r="F47" s="165">
        <f t="shared" si="18"/>
        <v>0</v>
      </c>
      <c r="G47" s="165">
        <f t="shared" si="18"/>
        <v>0</v>
      </c>
      <c r="H47" s="165">
        <f t="shared" si="18"/>
        <v>0</v>
      </c>
      <c r="I47" s="165">
        <f t="shared" si="18"/>
        <v>0</v>
      </c>
      <c r="J47" s="165">
        <f t="shared" si="18"/>
        <v>0</v>
      </c>
      <c r="K47" s="165">
        <f t="shared" si="18"/>
        <v>0</v>
      </c>
      <c r="L47" s="165">
        <f t="shared" si="18"/>
        <v>0</v>
      </c>
      <c r="M47" s="165">
        <f t="shared" si="18"/>
        <v>0</v>
      </c>
      <c r="N47" s="165">
        <f t="shared" si="18"/>
        <v>0</v>
      </c>
      <c r="O47" s="165">
        <f t="shared" si="18"/>
        <v>0</v>
      </c>
      <c r="P47" s="165">
        <f>P35+P36</f>
        <v>7143216.5999999996</v>
      </c>
      <c r="Q47" s="165">
        <f t="shared" si="11"/>
        <v>43408000</v>
      </c>
      <c r="R47" s="165">
        <f t="shared" si="18"/>
        <v>6328950.0666666673</v>
      </c>
    </row>
    <row r="49" spans="1:19" s="166" customFormat="1" x14ac:dyDescent="0.25">
      <c r="A49" s="167"/>
      <c r="B49" s="168"/>
      <c r="C49" s="168"/>
      <c r="D49" s="168"/>
      <c r="E49" s="168"/>
      <c r="F49" s="168"/>
      <c r="G49" s="169"/>
      <c r="H49" s="169"/>
      <c r="I49" s="169"/>
      <c r="J49" s="169"/>
      <c r="K49" s="169"/>
      <c r="L49" s="169"/>
      <c r="M49" s="169"/>
      <c r="N49" s="169"/>
      <c r="O49" s="169"/>
      <c r="P49" s="168"/>
      <c r="Q49" s="168"/>
      <c r="R49" s="168"/>
    </row>
    <row r="50" spans="1:19" s="170" customFormat="1" x14ac:dyDescent="0.25">
      <c r="A50" s="167"/>
      <c r="B50" s="168"/>
      <c r="C50" s="168"/>
      <c r="D50" s="168"/>
      <c r="E50" s="168"/>
      <c r="F50" s="168"/>
      <c r="G50" s="169"/>
      <c r="H50" s="169"/>
      <c r="I50" s="169"/>
      <c r="J50" s="169"/>
      <c r="K50" s="169"/>
      <c r="L50" s="169"/>
      <c r="M50" s="169"/>
      <c r="N50" s="169"/>
      <c r="O50" s="169"/>
      <c r="P50" s="168"/>
      <c r="Q50" s="168"/>
      <c r="R50" s="168"/>
      <c r="S50" s="166"/>
    </row>
    <row r="51" spans="1:19" s="170" customFormat="1" x14ac:dyDescent="0.25">
      <c r="A51" s="171"/>
      <c r="B51" s="172"/>
      <c r="C51" s="172"/>
      <c r="D51" s="172"/>
      <c r="E51" s="172"/>
      <c r="F51" s="172"/>
      <c r="G51" s="173"/>
      <c r="H51" s="173"/>
      <c r="I51" s="173"/>
      <c r="J51" s="173"/>
      <c r="K51" s="173"/>
      <c r="L51" s="173"/>
      <c r="M51" s="173"/>
      <c r="N51" s="173"/>
      <c r="O51" s="173"/>
      <c r="P51" s="172"/>
      <c r="Q51" s="172"/>
      <c r="R51" s="172"/>
      <c r="S51" s="166"/>
    </row>
    <row r="52" spans="1:19" s="166" customFormat="1" x14ac:dyDescent="0.25">
      <c r="A52" s="167"/>
      <c r="B52" s="168"/>
      <c r="C52" s="168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2"/>
      <c r="Q52" s="172"/>
      <c r="R52" s="172"/>
    </row>
    <row r="53" spans="1:19" s="166" customFormat="1" x14ac:dyDescent="0.25">
      <c r="A53" s="167"/>
      <c r="B53" s="168"/>
      <c r="C53" s="168"/>
      <c r="D53" s="173"/>
      <c r="E53" s="173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68"/>
      <c r="Q53" s="172"/>
      <c r="R53" s="172"/>
    </row>
    <row r="54" spans="1:19" s="170" customFormat="1" x14ac:dyDescent="0.25">
      <c r="A54" s="171"/>
      <c r="B54" s="172"/>
      <c r="C54" s="172"/>
      <c r="D54" s="172"/>
      <c r="E54" s="172"/>
      <c r="F54" s="172"/>
      <c r="G54" s="173"/>
      <c r="H54" s="173"/>
      <c r="I54" s="173"/>
      <c r="J54" s="173"/>
      <c r="K54" s="173"/>
      <c r="L54" s="173"/>
      <c r="M54" s="173"/>
      <c r="N54" s="173"/>
      <c r="O54" s="173"/>
      <c r="P54" s="172"/>
      <c r="Q54" s="172"/>
      <c r="R54" s="172"/>
      <c r="S54" s="166"/>
    </row>
    <row r="55" spans="1:19" s="170" customFormat="1" x14ac:dyDescent="0.25">
      <c r="A55" s="167"/>
      <c r="B55" s="168"/>
      <c r="C55" s="168"/>
      <c r="D55" s="173"/>
      <c r="E55" s="168"/>
      <c r="F55" s="168"/>
      <c r="G55" s="169"/>
      <c r="H55" s="169"/>
      <c r="I55" s="169"/>
      <c r="J55" s="169"/>
      <c r="K55" s="169"/>
      <c r="L55" s="169"/>
      <c r="M55" s="169"/>
      <c r="N55" s="169"/>
      <c r="O55" s="169"/>
      <c r="P55" s="168"/>
      <c r="Q55" s="172"/>
      <c r="R55" s="172"/>
      <c r="S55" s="166"/>
    </row>
    <row r="56" spans="1:19" s="170" customFormat="1" x14ac:dyDescent="0.25">
      <c r="A56" s="167"/>
      <c r="B56" s="172"/>
      <c r="C56" s="172"/>
      <c r="D56" s="168"/>
      <c r="E56" s="168"/>
      <c r="F56" s="172"/>
      <c r="G56" s="173"/>
      <c r="H56" s="173"/>
      <c r="I56" s="173"/>
      <c r="J56" s="173"/>
      <c r="K56" s="173"/>
      <c r="L56" s="173"/>
      <c r="M56" s="173"/>
      <c r="N56" s="173"/>
      <c r="O56" s="173"/>
      <c r="P56" s="172"/>
      <c r="Q56" s="172"/>
      <c r="R56" s="172"/>
      <c r="S56" s="166"/>
    </row>
    <row r="57" spans="1:19" s="170" customFormat="1" x14ac:dyDescent="0.25">
      <c r="A57" s="171"/>
      <c r="B57" s="172"/>
      <c r="C57" s="172"/>
      <c r="D57" s="168"/>
      <c r="E57" s="172"/>
      <c r="F57" s="168"/>
      <c r="G57" s="173"/>
      <c r="H57" s="173"/>
      <c r="I57" s="173"/>
      <c r="J57" s="173"/>
      <c r="K57" s="173"/>
      <c r="L57" s="173"/>
      <c r="M57" s="173"/>
      <c r="N57" s="173"/>
      <c r="O57" s="173"/>
      <c r="P57" s="172"/>
      <c r="Q57" s="172"/>
      <c r="R57" s="172"/>
      <c r="S57" s="166"/>
    </row>
    <row r="58" spans="1:19" s="170" customFormat="1" x14ac:dyDescent="0.25">
      <c r="A58" s="171"/>
      <c r="B58" s="172"/>
      <c r="C58" s="172"/>
      <c r="D58" s="168"/>
      <c r="E58" s="168"/>
      <c r="F58" s="172"/>
      <c r="G58" s="173"/>
      <c r="H58" s="173"/>
      <c r="I58" s="173"/>
      <c r="J58" s="173"/>
      <c r="K58" s="173"/>
      <c r="L58" s="173"/>
      <c r="M58" s="173"/>
      <c r="N58" s="173"/>
      <c r="O58" s="173"/>
      <c r="P58" s="172"/>
      <c r="Q58" s="172"/>
      <c r="R58" s="172"/>
      <c r="S58" s="166"/>
    </row>
    <row r="59" spans="1:19" s="170" customFormat="1" x14ac:dyDescent="0.25">
      <c r="A59" s="171"/>
      <c r="B59" s="172"/>
      <c r="C59" s="172"/>
      <c r="D59" s="168"/>
      <c r="E59" s="168"/>
      <c r="F59" s="172"/>
      <c r="G59" s="173"/>
      <c r="H59" s="173"/>
      <c r="I59" s="173"/>
      <c r="J59" s="173"/>
      <c r="K59" s="173"/>
      <c r="L59" s="173"/>
      <c r="M59" s="173"/>
      <c r="N59" s="173"/>
      <c r="O59" s="173"/>
      <c r="P59" s="172"/>
      <c r="Q59" s="172"/>
      <c r="R59" s="172"/>
      <c r="S59" s="166"/>
    </row>
    <row r="60" spans="1:19" s="170" customFormat="1" x14ac:dyDescent="0.25">
      <c r="A60" s="171"/>
      <c r="B60" s="172"/>
      <c r="C60" s="172"/>
      <c r="D60" s="168"/>
      <c r="E60" s="168"/>
      <c r="F60" s="172"/>
      <c r="G60" s="173"/>
      <c r="H60" s="173"/>
      <c r="I60" s="173"/>
      <c r="J60" s="173"/>
      <c r="K60" s="173"/>
      <c r="L60" s="173"/>
      <c r="M60" s="173"/>
      <c r="N60" s="173"/>
      <c r="O60" s="175"/>
      <c r="P60" s="176"/>
      <c r="Q60" s="172"/>
      <c r="R60" s="172"/>
      <c r="S60" s="166"/>
    </row>
    <row r="61" spans="1:19" s="170" customFormat="1" x14ac:dyDescent="0.25">
      <c r="A61" s="171"/>
      <c r="B61" s="172"/>
      <c r="C61" s="172"/>
      <c r="D61" s="168"/>
      <c r="E61" s="172"/>
      <c r="F61" s="172"/>
      <c r="G61" s="173"/>
      <c r="H61" s="173"/>
      <c r="I61" s="173"/>
      <c r="J61" s="173"/>
      <c r="K61" s="173"/>
      <c r="L61" s="173"/>
      <c r="M61" s="173"/>
      <c r="N61" s="173"/>
      <c r="O61" s="175"/>
      <c r="P61" s="177"/>
      <c r="Q61" s="172"/>
      <c r="R61" s="172"/>
      <c r="S61" s="166"/>
    </row>
    <row r="62" spans="1:19" s="170" customFormat="1" x14ac:dyDescent="0.25">
      <c r="A62" s="171"/>
      <c r="B62" s="172"/>
      <c r="C62" s="172"/>
      <c r="D62" s="172"/>
      <c r="E62" s="172"/>
      <c r="F62" s="172"/>
      <c r="G62" s="173"/>
      <c r="H62" s="173"/>
      <c r="I62" s="173"/>
      <c r="J62" s="173"/>
      <c r="K62" s="173"/>
      <c r="L62" s="173"/>
      <c r="M62" s="173"/>
      <c r="N62" s="173"/>
      <c r="O62" s="175"/>
      <c r="P62" s="176"/>
      <c r="Q62" s="172"/>
      <c r="R62" s="172"/>
      <c r="S62" s="166"/>
    </row>
    <row r="63" spans="1:19" s="170" customFormat="1" x14ac:dyDescent="0.25">
      <c r="A63" s="171"/>
      <c r="B63" s="172"/>
      <c r="C63" s="172"/>
      <c r="D63" s="172"/>
      <c r="E63" s="172"/>
      <c r="F63" s="172"/>
      <c r="G63" s="173"/>
      <c r="H63" s="173"/>
      <c r="I63" s="173"/>
      <c r="J63" s="173"/>
      <c r="K63" s="173"/>
      <c r="L63" s="173"/>
      <c r="M63" s="173"/>
      <c r="N63" s="173"/>
      <c r="O63" s="173"/>
      <c r="P63" s="172"/>
      <c r="Q63" s="172"/>
      <c r="R63" s="172"/>
      <c r="S63" s="166"/>
    </row>
    <row r="64" spans="1:19" s="170" customFormat="1" x14ac:dyDescent="0.25">
      <c r="A64" s="171"/>
      <c r="B64" s="172"/>
      <c r="C64" s="172"/>
      <c r="D64" s="172"/>
      <c r="E64" s="172"/>
      <c r="F64" s="172"/>
      <c r="G64" s="173"/>
      <c r="H64" s="173"/>
      <c r="I64" s="173"/>
      <c r="J64" s="173"/>
      <c r="K64" s="173"/>
      <c r="L64" s="173"/>
      <c r="M64" s="173"/>
      <c r="N64" s="173"/>
      <c r="O64" s="173"/>
      <c r="P64" s="172"/>
      <c r="Q64" s="172"/>
      <c r="R64" s="172"/>
      <c r="S64" s="166"/>
    </row>
    <row r="65" spans="1:19" s="170" customFormat="1" x14ac:dyDescent="0.25">
      <c r="A65" s="171"/>
      <c r="B65" s="172"/>
      <c r="C65" s="172"/>
      <c r="D65" s="172"/>
      <c r="E65" s="172"/>
      <c r="F65" s="172"/>
      <c r="G65" s="173"/>
      <c r="H65" s="173"/>
      <c r="I65" s="173"/>
      <c r="J65" s="173"/>
      <c r="K65" s="173"/>
      <c r="L65" s="173"/>
      <c r="M65" s="173"/>
      <c r="N65" s="173"/>
      <c r="O65" s="173"/>
      <c r="P65" s="172"/>
      <c r="Q65" s="172"/>
      <c r="R65" s="172"/>
      <c r="S65" s="166"/>
    </row>
    <row r="66" spans="1:19" s="170" customFormat="1" x14ac:dyDescent="0.25">
      <c r="A66" s="171"/>
      <c r="B66" s="172"/>
      <c r="C66" s="172"/>
      <c r="D66" s="172"/>
      <c r="E66" s="172"/>
      <c r="F66" s="172"/>
      <c r="G66" s="173"/>
      <c r="H66" s="173"/>
      <c r="I66" s="173"/>
      <c r="J66" s="173"/>
      <c r="K66" s="173"/>
      <c r="L66" s="173"/>
      <c r="M66" s="173"/>
      <c r="N66" s="173"/>
      <c r="O66" s="173"/>
      <c r="P66" s="172"/>
      <c r="Q66" s="172"/>
      <c r="R66" s="172"/>
      <c r="S66" s="166"/>
    </row>
    <row r="67" spans="1:19" s="170" customFormat="1" x14ac:dyDescent="0.25">
      <c r="A67" s="171"/>
      <c r="B67" s="172"/>
      <c r="C67" s="172"/>
      <c r="D67" s="172"/>
      <c r="E67" s="172"/>
      <c r="F67" s="172"/>
      <c r="G67" s="173"/>
      <c r="H67" s="173"/>
      <c r="I67" s="173"/>
      <c r="J67" s="173"/>
      <c r="K67" s="173"/>
      <c r="L67" s="173"/>
      <c r="M67" s="173"/>
      <c r="N67" s="173"/>
      <c r="O67" s="173"/>
      <c r="P67" s="172"/>
      <c r="Q67" s="172"/>
      <c r="R67" s="172"/>
      <c r="S67" s="166"/>
    </row>
    <row r="68" spans="1:19" s="170" customFormat="1" x14ac:dyDescent="0.25">
      <c r="A68" s="171"/>
      <c r="B68" s="172"/>
      <c r="C68" s="172"/>
      <c r="D68" s="172"/>
      <c r="E68" s="172"/>
      <c r="F68" s="172"/>
      <c r="G68" s="173"/>
      <c r="H68" s="173"/>
      <c r="I68" s="173"/>
      <c r="J68" s="173"/>
      <c r="K68" s="173"/>
      <c r="L68" s="173"/>
      <c r="M68" s="173"/>
      <c r="N68" s="173"/>
      <c r="O68" s="173"/>
      <c r="P68" s="172"/>
      <c r="Q68" s="172"/>
      <c r="R68" s="172"/>
      <c r="S68" s="166"/>
    </row>
    <row r="69" spans="1:19" s="170" customFormat="1" x14ac:dyDescent="0.25">
      <c r="A69" s="171"/>
      <c r="B69" s="172"/>
      <c r="C69" s="172"/>
      <c r="D69" s="172"/>
      <c r="E69" s="172"/>
      <c r="F69" s="172"/>
      <c r="G69" s="173"/>
      <c r="H69" s="173"/>
      <c r="I69" s="173"/>
      <c r="J69" s="173"/>
      <c r="K69" s="173"/>
      <c r="L69" s="173"/>
      <c r="M69" s="173"/>
      <c r="N69" s="173"/>
      <c r="O69" s="173"/>
      <c r="P69" s="172"/>
      <c r="Q69" s="172"/>
      <c r="R69" s="172"/>
      <c r="S69" s="166"/>
    </row>
    <row r="70" spans="1:19" s="170" customFormat="1" x14ac:dyDescent="0.25">
      <c r="A70" s="171"/>
      <c r="B70" s="172"/>
      <c r="C70" s="172"/>
      <c r="D70" s="172"/>
      <c r="E70" s="172"/>
      <c r="F70" s="172"/>
      <c r="G70" s="173"/>
      <c r="H70" s="173"/>
      <c r="I70" s="173"/>
      <c r="J70" s="173"/>
      <c r="K70" s="173"/>
      <c r="L70" s="173"/>
      <c r="M70" s="173"/>
      <c r="N70" s="173"/>
      <c r="O70" s="173"/>
      <c r="P70" s="172"/>
      <c r="Q70" s="172"/>
      <c r="R70" s="172"/>
      <c r="S70" s="166"/>
    </row>
    <row r="71" spans="1:19" s="170" customFormat="1" x14ac:dyDescent="0.25">
      <c r="A71" s="171"/>
      <c r="B71" s="172"/>
      <c r="C71" s="172"/>
      <c r="D71" s="172"/>
      <c r="E71" s="172"/>
      <c r="F71" s="172"/>
      <c r="G71" s="173"/>
      <c r="H71" s="173"/>
      <c r="I71" s="173"/>
      <c r="J71" s="173"/>
      <c r="K71" s="173"/>
      <c r="L71" s="173"/>
      <c r="M71" s="173"/>
      <c r="N71" s="173"/>
      <c r="O71" s="173"/>
      <c r="P71" s="172"/>
      <c r="Q71" s="172"/>
      <c r="R71" s="172"/>
      <c r="S71" s="166"/>
    </row>
    <row r="72" spans="1:19" s="170" customFormat="1" x14ac:dyDescent="0.25">
      <c r="A72" s="171"/>
      <c r="B72" s="172"/>
      <c r="C72" s="172"/>
      <c r="D72" s="172"/>
      <c r="E72" s="172"/>
      <c r="F72" s="172"/>
      <c r="G72" s="173"/>
      <c r="H72" s="173"/>
      <c r="I72" s="173"/>
      <c r="J72" s="173"/>
      <c r="K72" s="173"/>
      <c r="L72" s="173"/>
      <c r="M72" s="173"/>
      <c r="N72" s="173"/>
      <c r="O72" s="173"/>
      <c r="P72" s="172"/>
      <c r="Q72" s="172"/>
      <c r="R72" s="172"/>
      <c r="S72" s="166"/>
    </row>
    <row r="73" spans="1:19" x14ac:dyDescent="0.25">
      <c r="A73" s="171"/>
      <c r="B73" s="172"/>
      <c r="C73" s="172"/>
      <c r="D73" s="172"/>
      <c r="E73" s="172"/>
      <c r="F73" s="172"/>
      <c r="G73" s="173"/>
      <c r="H73" s="173"/>
      <c r="I73" s="173"/>
      <c r="J73" s="173"/>
      <c r="K73" s="173"/>
      <c r="L73" s="173"/>
      <c r="M73" s="173"/>
      <c r="N73" s="173"/>
      <c r="O73" s="173"/>
      <c r="P73" s="172"/>
      <c r="Q73" s="172"/>
      <c r="R73" s="172"/>
      <c r="S73" s="166"/>
    </row>
    <row r="75" spans="1:19" ht="15.75" customHeight="1" x14ac:dyDescent="0.25"/>
    <row r="76" spans="1:19" ht="15.75" customHeight="1" x14ac:dyDescent="0.25"/>
    <row r="77" spans="1:19" ht="15.75" customHeight="1" x14ac:dyDescent="0.25"/>
  </sheetData>
  <mergeCells count="22">
    <mergeCell ref="I3:I4"/>
    <mergeCell ref="B3:B4"/>
    <mergeCell ref="C3:C4"/>
    <mergeCell ref="D3:D4"/>
    <mergeCell ref="E3:E4"/>
    <mergeCell ref="F3:F4"/>
    <mergeCell ref="K3:K4"/>
    <mergeCell ref="Q3:Q4"/>
    <mergeCell ref="R3:R4"/>
    <mergeCell ref="A7:A8"/>
    <mergeCell ref="B7:B8"/>
    <mergeCell ref="C7:C8"/>
    <mergeCell ref="Q7:Q8"/>
    <mergeCell ref="R7:R8"/>
    <mergeCell ref="L3:L4"/>
    <mergeCell ref="M3:M4"/>
    <mergeCell ref="J3:J4"/>
    <mergeCell ref="N3:N4"/>
    <mergeCell ref="O3:O4"/>
    <mergeCell ref="P3:P4"/>
    <mergeCell ref="G3:G4"/>
    <mergeCell ref="H3:H4"/>
  </mergeCells>
  <phoneticPr fontId="21" type="noConversion"/>
  <pageMargins left="0.25" right="0.25" top="0.75" bottom="0.75" header="0.3" footer="0.3"/>
  <pageSetup paperSize="9" scale="52" firstPageNumber="4294967295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0"/>
  <sheetViews>
    <sheetView workbookViewId="0">
      <selection activeCell="H22" sqref="H22"/>
    </sheetView>
  </sheetViews>
  <sheetFormatPr defaultRowHeight="15" x14ac:dyDescent="0.2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 x14ac:dyDescent="0.25">
      <c r="A1" s="178" t="s">
        <v>75</v>
      </c>
      <c r="B1" s="179"/>
      <c r="C1" s="179"/>
      <c r="D1" s="179"/>
      <c r="E1" s="179"/>
      <c r="F1" s="178"/>
      <c r="G1" s="180"/>
      <c r="H1" s="181" t="s">
        <v>76</v>
      </c>
      <c r="I1" s="181"/>
      <c r="J1" s="181"/>
      <c r="K1" s="181"/>
      <c r="L1" s="181"/>
      <c r="M1" s="181"/>
      <c r="N1" s="181"/>
      <c r="O1" s="180"/>
      <c r="P1" s="180"/>
      <c r="Q1" s="180"/>
      <c r="R1" s="180"/>
      <c r="S1" s="180"/>
      <c r="T1" s="180"/>
    </row>
    <row r="2" spans="1:21" x14ac:dyDescent="0.25">
      <c r="A2" s="182" t="s">
        <v>77</v>
      </c>
      <c r="B2" s="86"/>
      <c r="C2" s="86"/>
      <c r="D2" s="86"/>
      <c r="E2" s="86"/>
      <c r="F2" s="356" t="s">
        <v>78</v>
      </c>
      <c r="G2" s="183" t="s">
        <v>79</v>
      </c>
      <c r="H2" s="10" t="s">
        <v>80</v>
      </c>
      <c r="I2" s="10"/>
      <c r="J2" s="10"/>
      <c r="K2" s="10"/>
      <c r="L2" s="10"/>
      <c r="M2" s="10"/>
      <c r="N2" s="10"/>
      <c r="O2" s="10"/>
      <c r="P2" s="10"/>
      <c r="Q2" s="10"/>
      <c r="R2" s="12"/>
      <c r="S2" s="12"/>
      <c r="T2" s="183" t="s">
        <v>81</v>
      </c>
    </row>
    <row r="3" spans="1:21" x14ac:dyDescent="0.25">
      <c r="A3" s="13"/>
      <c r="B3" s="14"/>
      <c r="C3" s="14"/>
      <c r="D3" s="14"/>
      <c r="E3" s="14"/>
      <c r="F3" s="357"/>
      <c r="G3" s="184" t="s">
        <v>82</v>
      </c>
      <c r="H3" s="185" t="s">
        <v>4</v>
      </c>
      <c r="I3" s="15" t="s">
        <v>5</v>
      </c>
      <c r="J3" s="15" t="s">
        <v>6</v>
      </c>
      <c r="K3" s="15" t="s">
        <v>7</v>
      </c>
      <c r="L3" s="15" t="s">
        <v>8</v>
      </c>
      <c r="M3" s="15" t="s">
        <v>9</v>
      </c>
      <c r="N3" s="15" t="s">
        <v>14</v>
      </c>
      <c r="O3" s="15" t="s">
        <v>15</v>
      </c>
      <c r="P3" s="15" t="s">
        <v>16</v>
      </c>
      <c r="Q3" s="15" t="s">
        <v>17</v>
      </c>
      <c r="R3" s="186" t="s">
        <v>18</v>
      </c>
      <c r="S3" s="186" t="s">
        <v>19</v>
      </c>
      <c r="T3" s="184"/>
    </row>
    <row r="4" spans="1:21" x14ac:dyDescent="0.25">
      <c r="A4" s="71" t="s">
        <v>83</v>
      </c>
      <c r="B4" s="72"/>
      <c r="C4" s="72"/>
      <c r="D4" s="72"/>
      <c r="E4" s="72"/>
      <c r="F4" s="187">
        <v>25090303</v>
      </c>
      <c r="G4" s="187">
        <f>F4/12</f>
        <v>2090858.5833333333</v>
      </c>
      <c r="H4" s="188">
        <v>2150745</v>
      </c>
      <c r="I4" s="189"/>
      <c r="J4" s="189"/>
      <c r="K4" s="189"/>
      <c r="L4" s="189"/>
      <c r="M4" s="189"/>
      <c r="N4" s="189"/>
      <c r="O4" s="189"/>
      <c r="P4" s="189"/>
      <c r="Q4" s="189"/>
      <c r="R4" s="190"/>
      <c r="S4" s="190"/>
      <c r="T4" s="191">
        <f t="shared" ref="T4:T9" si="0">SUM(H4:S4)</f>
        <v>2150745</v>
      </c>
      <c r="U4" s="192"/>
    </row>
    <row r="5" spans="1:21" x14ac:dyDescent="0.25">
      <c r="A5" s="71" t="s">
        <v>84</v>
      </c>
      <c r="B5" s="72"/>
      <c r="C5" s="72"/>
      <c r="D5" s="72"/>
      <c r="E5" s="72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90"/>
      <c r="T5" s="191">
        <f t="shared" si="0"/>
        <v>0</v>
      </c>
    </row>
    <row r="6" spans="1:21" x14ac:dyDescent="0.25">
      <c r="A6" s="71" t="s">
        <v>85</v>
      </c>
      <c r="B6" s="72"/>
      <c r="C6" s="72"/>
      <c r="D6" s="72"/>
      <c r="E6" s="72"/>
      <c r="F6" s="193"/>
      <c r="G6" s="193"/>
      <c r="H6" s="188">
        <v>36280</v>
      </c>
      <c r="I6" s="189"/>
      <c r="J6" s="189"/>
      <c r="K6" s="189"/>
      <c r="L6" s="189"/>
      <c r="M6" s="189"/>
      <c r="N6" s="189"/>
      <c r="O6" s="189"/>
      <c r="P6" s="189"/>
      <c r="Q6" s="189"/>
      <c r="R6" s="190"/>
      <c r="S6" s="190"/>
      <c r="T6" s="191">
        <f t="shared" si="0"/>
        <v>36280</v>
      </c>
    </row>
    <row r="7" spans="1:21" x14ac:dyDescent="0.25">
      <c r="A7" s="71" t="s">
        <v>86</v>
      </c>
      <c r="B7" s="72"/>
      <c r="C7" s="72"/>
      <c r="D7" s="72"/>
      <c r="E7" s="72"/>
      <c r="F7" s="193"/>
      <c r="G7" s="193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  <c r="S7" s="190"/>
      <c r="T7" s="191">
        <f t="shared" si="0"/>
        <v>0</v>
      </c>
      <c r="U7" s="86"/>
    </row>
    <row r="8" spans="1:21" x14ac:dyDescent="0.25">
      <c r="A8" s="71" t="s">
        <v>87</v>
      </c>
      <c r="B8" s="72"/>
      <c r="C8" s="72"/>
      <c r="D8" s="72"/>
      <c r="E8" s="72"/>
      <c r="F8" s="193"/>
      <c r="G8" s="193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90"/>
      <c r="S8" s="190"/>
      <c r="T8" s="195">
        <f t="shared" si="0"/>
        <v>0</v>
      </c>
    </row>
    <row r="9" spans="1:21" x14ac:dyDescent="0.25">
      <c r="A9" s="193" t="s">
        <v>88</v>
      </c>
      <c r="B9" s="71"/>
      <c r="C9" s="72"/>
      <c r="D9" s="72"/>
      <c r="E9" s="72"/>
      <c r="F9" s="193"/>
      <c r="G9" s="193"/>
      <c r="H9" s="188">
        <f>15000+99836+10860</f>
        <v>125696</v>
      </c>
      <c r="I9" s="189"/>
      <c r="J9" s="193"/>
      <c r="K9" s="193"/>
      <c r="L9" s="193"/>
      <c r="M9" s="193"/>
      <c r="N9" s="193"/>
      <c r="O9" s="193"/>
      <c r="P9" s="189"/>
      <c r="Q9" s="193"/>
      <c r="R9" s="194"/>
      <c r="S9" s="194"/>
      <c r="T9" s="195">
        <f t="shared" si="0"/>
        <v>125696</v>
      </c>
    </row>
    <row r="10" spans="1:21" ht="15.75" x14ac:dyDescent="0.25">
      <c r="A10" s="196"/>
      <c r="B10" s="65" t="s">
        <v>89</v>
      </c>
      <c r="C10" s="65"/>
      <c r="D10" s="65"/>
      <c r="E10" s="65"/>
      <c r="F10" s="197">
        <f>SUM(F4:F9)</f>
        <v>25090303</v>
      </c>
      <c r="G10" s="197">
        <f>SUM(G4:G9)</f>
        <v>2090858.5833333333</v>
      </c>
      <c r="H10" s="198">
        <f>SUM(H4:H9)</f>
        <v>2312721</v>
      </c>
      <c r="I10" s="189"/>
      <c r="J10" s="189"/>
      <c r="K10" s="189"/>
      <c r="L10" s="189"/>
      <c r="M10" s="189"/>
      <c r="N10" s="189"/>
      <c r="O10" s="189"/>
      <c r="P10" s="189"/>
      <c r="Q10" s="189"/>
      <c r="R10" s="190"/>
      <c r="S10" s="190"/>
      <c r="T10" s="191">
        <f>SUM(T4:T9)</f>
        <v>2312721</v>
      </c>
    </row>
    <row r="11" spans="1:21" x14ac:dyDescent="0.25">
      <c r="A11" s="72"/>
      <c r="B11" s="72"/>
      <c r="C11" s="72"/>
      <c r="D11" s="72"/>
      <c r="E11" s="72"/>
      <c r="F11" s="179" t="s">
        <v>90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99"/>
      <c r="S11" s="199"/>
      <c r="T11" s="179"/>
      <c r="U11" s="200" t="s">
        <v>91</v>
      </c>
    </row>
    <row r="12" spans="1:21" x14ac:dyDescent="0.25">
      <c r="A12" s="71" t="s">
        <v>28</v>
      </c>
      <c r="B12" s="72"/>
      <c r="C12" s="72"/>
      <c r="D12" s="72"/>
      <c r="E12" s="72"/>
      <c r="F12" s="201">
        <v>900000</v>
      </c>
      <c r="G12" s="201">
        <f t="shared" ref="G12:G32" si="1">F12/12</f>
        <v>75000</v>
      </c>
      <c r="H12" s="202">
        <v>63332</v>
      </c>
      <c r="I12" s="189"/>
      <c r="J12" s="189"/>
      <c r="K12" s="189"/>
      <c r="L12" s="189"/>
      <c r="M12" s="189"/>
      <c r="N12" s="189"/>
      <c r="O12" s="189"/>
      <c r="P12" s="189"/>
      <c r="Q12" s="189"/>
      <c r="R12" s="190"/>
      <c r="S12" s="190"/>
      <c r="T12" s="203">
        <f t="shared" ref="T12:T32" si="2">SUM(H12:S12)</f>
        <v>63332</v>
      </c>
      <c r="U12" s="204">
        <f t="shared" ref="U12:U32" si="3">G12*12-T12</f>
        <v>836668</v>
      </c>
    </row>
    <row r="13" spans="1:21" x14ac:dyDescent="0.25">
      <c r="A13" s="13" t="s">
        <v>29</v>
      </c>
      <c r="B13" s="14"/>
      <c r="C13" s="14"/>
      <c r="D13" s="14"/>
      <c r="E13" s="14"/>
      <c r="F13" s="205">
        <v>160000</v>
      </c>
      <c r="G13" s="201">
        <f t="shared" si="1"/>
        <v>13333.333333333334</v>
      </c>
      <c r="H13" s="206">
        <v>11634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8"/>
      <c r="S13" s="208"/>
      <c r="T13" s="191">
        <f t="shared" si="2"/>
        <v>11634</v>
      </c>
      <c r="U13" s="209">
        <f t="shared" si="3"/>
        <v>148366</v>
      </c>
    </row>
    <row r="14" spans="1:21" x14ac:dyDescent="0.25">
      <c r="A14" s="71" t="s">
        <v>30</v>
      </c>
      <c r="B14" s="72"/>
      <c r="C14" s="72"/>
      <c r="D14" s="72"/>
      <c r="E14" s="77"/>
      <c r="F14" s="201">
        <v>140000</v>
      </c>
      <c r="G14" s="201">
        <f t="shared" si="1"/>
        <v>11666.666666666666</v>
      </c>
      <c r="H14" s="202">
        <v>6336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190"/>
      <c r="T14" s="191">
        <f t="shared" si="2"/>
        <v>6336</v>
      </c>
      <c r="U14" s="204">
        <f t="shared" si="3"/>
        <v>133664</v>
      </c>
    </row>
    <row r="15" spans="1:21" x14ac:dyDescent="0.25">
      <c r="A15" s="13" t="s">
        <v>31</v>
      </c>
      <c r="B15" s="14"/>
      <c r="C15" s="14"/>
      <c r="D15" s="14"/>
      <c r="E15" s="78"/>
      <c r="F15" s="205">
        <v>300000</v>
      </c>
      <c r="G15" s="201">
        <f t="shared" si="1"/>
        <v>25000</v>
      </c>
      <c r="H15" s="206">
        <v>70000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8"/>
      <c r="S15" s="208"/>
      <c r="T15" s="191">
        <f t="shared" si="2"/>
        <v>70000</v>
      </c>
      <c r="U15" s="209">
        <f t="shared" si="3"/>
        <v>230000</v>
      </c>
    </row>
    <row r="16" spans="1:21" x14ac:dyDescent="0.25">
      <c r="A16" s="13" t="s">
        <v>32</v>
      </c>
      <c r="B16" s="14"/>
      <c r="C16" s="14"/>
      <c r="D16" s="14"/>
      <c r="E16" s="78"/>
      <c r="F16" s="205">
        <v>7890000</v>
      </c>
      <c r="G16" s="201">
        <f t="shared" si="1"/>
        <v>657500</v>
      </c>
      <c r="H16" s="206">
        <v>729871</v>
      </c>
      <c r="I16" s="207"/>
      <c r="J16" s="207"/>
      <c r="K16" s="207"/>
      <c r="L16" s="207"/>
      <c r="M16" s="207"/>
      <c r="N16" s="207"/>
      <c r="O16" s="207"/>
      <c r="P16" s="207"/>
      <c r="Q16" s="207"/>
      <c r="R16" s="208"/>
      <c r="S16" s="208"/>
      <c r="T16" s="191">
        <f t="shared" si="2"/>
        <v>729871</v>
      </c>
      <c r="U16" s="204">
        <f t="shared" si="3"/>
        <v>7160129</v>
      </c>
    </row>
    <row r="17" spans="1:23" x14ac:dyDescent="0.25">
      <c r="A17" s="13" t="s">
        <v>33</v>
      </c>
      <c r="B17" s="14"/>
      <c r="C17" s="14"/>
      <c r="D17" s="14"/>
      <c r="E17" s="14"/>
      <c r="F17" s="205">
        <v>500000</v>
      </c>
      <c r="G17" s="201">
        <f t="shared" si="1"/>
        <v>41666.666666666664</v>
      </c>
      <c r="H17" s="206">
        <v>9200</v>
      </c>
      <c r="I17" s="207"/>
      <c r="J17" s="207"/>
      <c r="K17" s="207"/>
      <c r="L17" s="207"/>
      <c r="M17" s="207"/>
      <c r="N17" s="207"/>
      <c r="O17" s="207"/>
      <c r="P17" s="207"/>
      <c r="Q17" s="207"/>
      <c r="R17" s="208"/>
      <c r="S17" s="208"/>
      <c r="T17" s="191">
        <f t="shared" si="2"/>
        <v>9200</v>
      </c>
      <c r="U17" s="209">
        <f t="shared" si="3"/>
        <v>490800</v>
      </c>
    </row>
    <row r="18" spans="1:23" x14ac:dyDescent="0.25">
      <c r="A18" s="13" t="s">
        <v>34</v>
      </c>
      <c r="B18" s="14"/>
      <c r="C18" s="14"/>
      <c r="D18" s="14"/>
      <c r="E18" s="14"/>
      <c r="F18" s="205">
        <v>2517000</v>
      </c>
      <c r="G18" s="201">
        <f t="shared" si="1"/>
        <v>209750</v>
      </c>
      <c r="H18" s="206">
        <v>215933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8"/>
      <c r="S18" s="208"/>
      <c r="T18" s="191">
        <f t="shared" si="2"/>
        <v>215933</v>
      </c>
      <c r="U18" s="204">
        <f t="shared" si="3"/>
        <v>2301067</v>
      </c>
    </row>
    <row r="19" spans="1:23" x14ac:dyDescent="0.25">
      <c r="A19" s="13" t="s">
        <v>92</v>
      </c>
      <c r="B19" s="14"/>
      <c r="C19" s="14"/>
      <c r="D19" s="14"/>
      <c r="E19" s="14"/>
      <c r="F19" s="205">
        <v>200000</v>
      </c>
      <c r="G19" s="201">
        <f t="shared" si="1"/>
        <v>16666.666666666668</v>
      </c>
      <c r="H19" s="206">
        <v>0</v>
      </c>
      <c r="I19" s="207"/>
      <c r="J19" s="207"/>
      <c r="K19" s="207"/>
      <c r="L19" s="207"/>
      <c r="M19" s="207"/>
      <c r="N19" s="207"/>
      <c r="O19" s="207"/>
      <c r="P19" s="207"/>
      <c r="Q19" s="207"/>
      <c r="R19" s="208"/>
      <c r="S19" s="208"/>
      <c r="T19" s="203">
        <f t="shared" si="2"/>
        <v>0</v>
      </c>
      <c r="U19" s="209">
        <f t="shared" si="3"/>
        <v>200000</v>
      </c>
    </row>
    <row r="20" spans="1:23" x14ac:dyDescent="0.25">
      <c r="A20" s="71" t="s">
        <v>36</v>
      </c>
      <c r="B20" s="72"/>
      <c r="C20" s="72"/>
      <c r="D20" s="72"/>
      <c r="E20" s="72"/>
      <c r="F20" s="201">
        <v>1950000</v>
      </c>
      <c r="G20" s="201">
        <f t="shared" si="1"/>
        <v>162500</v>
      </c>
      <c r="H20" s="210">
        <v>179000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90"/>
      <c r="S20" s="190"/>
      <c r="T20" s="191">
        <f t="shared" si="2"/>
        <v>179000</v>
      </c>
      <c r="U20" s="204">
        <f t="shared" si="3"/>
        <v>1771000</v>
      </c>
    </row>
    <row r="21" spans="1:23" x14ac:dyDescent="0.25">
      <c r="A21" s="71" t="s">
        <v>37</v>
      </c>
      <c r="B21" s="72"/>
      <c r="C21" s="72"/>
      <c r="D21" s="72"/>
      <c r="E21" s="77"/>
      <c r="F21" s="201">
        <v>7400000</v>
      </c>
      <c r="G21" s="201">
        <f t="shared" si="1"/>
        <v>616666.66666666663</v>
      </c>
      <c r="H21" s="202">
        <v>566600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90"/>
      <c r="S21" s="190"/>
      <c r="T21" s="191">
        <f t="shared" si="2"/>
        <v>566600</v>
      </c>
      <c r="U21" s="209">
        <f t="shared" si="3"/>
        <v>6833400</v>
      </c>
    </row>
    <row r="22" spans="1:23" x14ac:dyDescent="0.25">
      <c r="A22" s="13" t="s">
        <v>38</v>
      </c>
      <c r="B22" s="14"/>
      <c r="C22" s="14"/>
      <c r="D22" s="14"/>
      <c r="E22" s="14"/>
      <c r="F22" s="205">
        <v>230000</v>
      </c>
      <c r="G22" s="201">
        <f t="shared" si="1"/>
        <v>19166.666666666668</v>
      </c>
      <c r="H22" s="206">
        <v>17252</v>
      </c>
      <c r="I22" s="207"/>
      <c r="J22" s="207"/>
      <c r="K22" s="207"/>
      <c r="L22" s="207"/>
      <c r="M22" s="207"/>
      <c r="N22" s="207"/>
      <c r="O22" s="207"/>
      <c r="P22" s="207"/>
      <c r="Q22" s="207"/>
      <c r="R22" s="208"/>
      <c r="S22" s="208"/>
      <c r="T22" s="191">
        <f t="shared" si="2"/>
        <v>17252</v>
      </c>
      <c r="U22" s="204">
        <f t="shared" si="3"/>
        <v>212748</v>
      </c>
    </row>
    <row r="23" spans="1:23" x14ac:dyDescent="0.25">
      <c r="A23" s="71" t="s">
        <v>39</v>
      </c>
      <c r="B23" s="72"/>
      <c r="C23" s="72"/>
      <c r="D23" s="72"/>
      <c r="E23" s="72"/>
      <c r="F23" s="201">
        <v>1240000</v>
      </c>
      <c r="G23" s="201">
        <f t="shared" si="1"/>
        <v>103333.33333333333</v>
      </c>
      <c r="H23" s="202">
        <v>128037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S23" s="190"/>
      <c r="T23" s="191">
        <f t="shared" si="2"/>
        <v>128037</v>
      </c>
      <c r="U23" s="209">
        <f t="shared" si="3"/>
        <v>1111963</v>
      </c>
    </row>
    <row r="24" spans="1:23" x14ac:dyDescent="0.25">
      <c r="A24" s="71" t="s">
        <v>93</v>
      </c>
      <c r="B24" s="72"/>
      <c r="C24" s="72"/>
      <c r="D24" s="72"/>
      <c r="E24" s="72"/>
      <c r="F24" s="201">
        <f>250000+480000</f>
        <v>730000</v>
      </c>
      <c r="G24" s="201">
        <f t="shared" si="1"/>
        <v>60833.333333333336</v>
      </c>
      <c r="H24" s="202">
        <v>72400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90"/>
      <c r="S24" s="190"/>
      <c r="T24" s="191">
        <f t="shared" si="2"/>
        <v>72400</v>
      </c>
      <c r="U24" s="204">
        <f t="shared" si="3"/>
        <v>657600</v>
      </c>
    </row>
    <row r="25" spans="1:23" x14ac:dyDescent="0.25">
      <c r="A25" s="71" t="s">
        <v>41</v>
      </c>
      <c r="B25" s="72"/>
      <c r="C25" s="72"/>
      <c r="D25" s="72"/>
      <c r="E25" s="72"/>
      <c r="F25" s="201">
        <v>250000</v>
      </c>
      <c r="G25" s="201">
        <f t="shared" si="1"/>
        <v>20833.333333333332</v>
      </c>
      <c r="H25" s="202">
        <v>1080</v>
      </c>
      <c r="I25" s="189"/>
      <c r="J25" s="189"/>
      <c r="K25" s="189"/>
      <c r="L25" s="189"/>
      <c r="M25" s="189"/>
      <c r="N25" s="189"/>
      <c r="O25" s="189"/>
      <c r="P25" s="189"/>
      <c r="Q25" s="189"/>
      <c r="R25" s="190"/>
      <c r="S25" s="190"/>
      <c r="T25" s="203">
        <f t="shared" si="2"/>
        <v>1080</v>
      </c>
      <c r="U25" s="209">
        <f t="shared" si="3"/>
        <v>248920</v>
      </c>
    </row>
    <row r="26" spans="1:23" x14ac:dyDescent="0.25">
      <c r="A26" s="71" t="s">
        <v>42</v>
      </c>
      <c r="B26" s="72"/>
      <c r="C26" s="72"/>
      <c r="D26" s="72"/>
      <c r="E26" s="72"/>
      <c r="F26" s="201">
        <v>1800000</v>
      </c>
      <c r="G26" s="201">
        <f t="shared" si="1"/>
        <v>150000</v>
      </c>
      <c r="H26" s="202">
        <v>98486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90"/>
      <c r="S26" s="190"/>
      <c r="T26" s="191">
        <f t="shared" si="2"/>
        <v>98486</v>
      </c>
      <c r="U26" s="204">
        <f t="shared" si="3"/>
        <v>1701514</v>
      </c>
    </row>
    <row r="27" spans="1:23" x14ac:dyDescent="0.25">
      <c r="A27" s="71" t="s">
        <v>43</v>
      </c>
      <c r="B27" s="72"/>
      <c r="C27" s="72"/>
      <c r="D27" s="72"/>
      <c r="E27" s="72"/>
      <c r="F27" s="201">
        <v>1700000</v>
      </c>
      <c r="G27" s="201">
        <f t="shared" si="1"/>
        <v>141666.66666666666</v>
      </c>
      <c r="H27" s="210">
        <v>0</v>
      </c>
      <c r="I27" s="189"/>
      <c r="J27" s="189"/>
      <c r="K27" s="193"/>
      <c r="L27" s="193"/>
      <c r="M27" s="193"/>
      <c r="N27" s="189"/>
      <c r="O27" s="189"/>
      <c r="P27" s="189"/>
      <c r="Q27" s="189"/>
      <c r="R27" s="190"/>
      <c r="S27" s="190"/>
      <c r="T27" s="203">
        <f t="shared" si="2"/>
        <v>0</v>
      </c>
      <c r="U27" s="209">
        <f t="shared" si="3"/>
        <v>1700000</v>
      </c>
    </row>
    <row r="28" spans="1:23" x14ac:dyDescent="0.25">
      <c r="A28" s="71" t="s">
        <v>94</v>
      </c>
      <c r="B28" s="72"/>
      <c r="C28" s="72"/>
      <c r="D28" s="72"/>
      <c r="E28" s="72"/>
      <c r="F28" s="201"/>
      <c r="G28" s="201">
        <f t="shared" si="1"/>
        <v>0</v>
      </c>
      <c r="H28" s="189">
        <v>0</v>
      </c>
      <c r="I28" s="189"/>
      <c r="J28" s="189"/>
      <c r="K28" s="193"/>
      <c r="L28" s="193"/>
      <c r="M28" s="193"/>
      <c r="N28" s="189"/>
      <c r="O28" s="189"/>
      <c r="P28" s="189"/>
      <c r="Q28" s="189"/>
      <c r="R28" s="190"/>
      <c r="S28" s="190"/>
      <c r="T28" s="203">
        <f t="shared" si="2"/>
        <v>0</v>
      </c>
      <c r="U28" s="204">
        <f t="shared" si="3"/>
        <v>0</v>
      </c>
    </row>
    <row r="29" spans="1:23" x14ac:dyDescent="0.25">
      <c r="A29" s="71" t="s">
        <v>95</v>
      </c>
      <c r="B29" s="72"/>
      <c r="C29" s="72"/>
      <c r="D29" s="72"/>
      <c r="E29" s="72"/>
      <c r="F29" s="201">
        <v>600000</v>
      </c>
      <c r="G29" s="201">
        <f t="shared" si="1"/>
        <v>50000</v>
      </c>
      <c r="H29" s="202">
        <v>22864</v>
      </c>
      <c r="I29" s="189"/>
      <c r="J29" s="189"/>
      <c r="K29" s="193"/>
      <c r="L29" s="193"/>
      <c r="M29" s="193"/>
      <c r="N29" s="189"/>
      <c r="O29" s="189"/>
      <c r="P29" s="189"/>
      <c r="Q29" s="189"/>
      <c r="R29" s="190"/>
      <c r="S29" s="190"/>
      <c r="T29" s="191">
        <f t="shared" si="2"/>
        <v>22864</v>
      </c>
      <c r="U29" s="209">
        <f t="shared" si="3"/>
        <v>577136</v>
      </c>
    </row>
    <row r="30" spans="1:23" x14ac:dyDescent="0.25">
      <c r="A30" s="71" t="s">
        <v>45</v>
      </c>
      <c r="B30" s="72"/>
      <c r="C30" s="72"/>
      <c r="D30" s="72"/>
      <c r="E30" s="72"/>
      <c r="F30" s="201">
        <v>250000</v>
      </c>
      <c r="G30" s="201">
        <f t="shared" si="1"/>
        <v>20833.333333333332</v>
      </c>
      <c r="H30" s="202">
        <v>11304</v>
      </c>
      <c r="I30" s="189"/>
      <c r="J30" s="189"/>
      <c r="K30" s="189"/>
      <c r="L30" s="189"/>
      <c r="M30" s="189"/>
      <c r="N30" s="189"/>
      <c r="O30" s="189"/>
      <c r="P30" s="189"/>
      <c r="Q30" s="189"/>
      <c r="R30" s="190"/>
      <c r="S30" s="190"/>
      <c r="T30" s="191">
        <f t="shared" si="2"/>
        <v>11304</v>
      </c>
      <c r="U30" s="204">
        <f t="shared" si="3"/>
        <v>238696</v>
      </c>
    </row>
    <row r="31" spans="1:23" x14ac:dyDescent="0.25">
      <c r="A31" s="71" t="s">
        <v>96</v>
      </c>
      <c r="B31" s="72"/>
      <c r="C31" s="72"/>
      <c r="D31" s="72"/>
      <c r="E31" s="72"/>
      <c r="F31" s="201">
        <v>719200</v>
      </c>
      <c r="G31" s="201">
        <f t="shared" si="1"/>
        <v>59933.333333333336</v>
      </c>
      <c r="H31" s="189">
        <v>0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90"/>
      <c r="S31" s="190"/>
      <c r="T31" s="191">
        <f t="shared" si="2"/>
        <v>0</v>
      </c>
      <c r="U31" s="209">
        <f t="shared" si="3"/>
        <v>719200</v>
      </c>
    </row>
    <row r="32" spans="1:23" x14ac:dyDescent="0.25">
      <c r="A32" s="71" t="s">
        <v>47</v>
      </c>
      <c r="B32" s="72"/>
      <c r="C32" s="72"/>
      <c r="D32" s="72"/>
      <c r="E32" s="72"/>
      <c r="F32" s="201">
        <v>1473800</v>
      </c>
      <c r="G32" s="201">
        <f t="shared" si="1"/>
        <v>122816.66666666667</v>
      </c>
      <c r="H32" s="189">
        <v>0</v>
      </c>
      <c r="I32" s="189"/>
      <c r="J32" s="189"/>
      <c r="K32" s="193"/>
      <c r="L32" s="193"/>
      <c r="M32" s="193"/>
      <c r="N32" s="189"/>
      <c r="O32" s="189"/>
      <c r="P32" s="189"/>
      <c r="Q32" s="189"/>
      <c r="R32" s="190"/>
      <c r="S32" s="190"/>
      <c r="T32" s="203">
        <f t="shared" si="2"/>
        <v>0</v>
      </c>
      <c r="U32" s="209">
        <f t="shared" si="3"/>
        <v>1473800</v>
      </c>
      <c r="V32" s="86"/>
      <c r="W32" s="86"/>
    </row>
    <row r="33" spans="1:21" ht="15.75" x14ac:dyDescent="0.25">
      <c r="A33" s="211" t="s">
        <v>97</v>
      </c>
      <c r="B33" s="179"/>
      <c r="C33" s="72"/>
      <c r="D33" s="72"/>
      <c r="E33" s="72"/>
      <c r="F33" s="212">
        <f>SUM(F12:F32)</f>
        <v>30950000</v>
      </c>
      <c r="G33" s="212">
        <f>SUM(G12:G32)</f>
        <v>2579166.6666666665</v>
      </c>
      <c r="H33" s="212">
        <f>SUM(H12:H32)</f>
        <v>2203329</v>
      </c>
      <c r="I33" s="189">
        <f t="shared" ref="I33:T33" si="4">SUM(I12:I32)</f>
        <v>0</v>
      </c>
      <c r="J33" s="189">
        <f t="shared" si="4"/>
        <v>0</v>
      </c>
      <c r="K33" s="189">
        <f t="shared" si="4"/>
        <v>0</v>
      </c>
      <c r="L33" s="189">
        <f t="shared" si="4"/>
        <v>0</v>
      </c>
      <c r="M33" s="189">
        <f t="shared" si="4"/>
        <v>0</v>
      </c>
      <c r="N33" s="189">
        <f t="shared" si="4"/>
        <v>0</v>
      </c>
      <c r="O33" s="189">
        <f t="shared" si="4"/>
        <v>0</v>
      </c>
      <c r="P33" s="189">
        <f t="shared" si="4"/>
        <v>0</v>
      </c>
      <c r="Q33" s="189">
        <f t="shared" si="4"/>
        <v>0</v>
      </c>
      <c r="R33" s="190">
        <f t="shared" si="4"/>
        <v>0</v>
      </c>
      <c r="S33" s="190">
        <f t="shared" si="4"/>
        <v>0</v>
      </c>
      <c r="T33" s="191">
        <f t="shared" si="4"/>
        <v>2203329</v>
      </c>
      <c r="U33" s="204">
        <f>SUM(U12:U32)</f>
        <v>28746671</v>
      </c>
    </row>
    <row r="35" spans="1:21" x14ac:dyDescent="0.25">
      <c r="Q35" s="213"/>
    </row>
    <row r="37" spans="1:21" x14ac:dyDescent="0.25">
      <c r="T37" s="192"/>
    </row>
    <row r="40" spans="1:21" x14ac:dyDescent="0.25">
      <c r="O40" s="86"/>
    </row>
  </sheetData>
  <mergeCells count="1">
    <mergeCell ref="F2:F3"/>
  </mergeCells>
  <phoneticPr fontId="21" type="noConversion"/>
  <pageMargins left="0.70866141732283472" right="0.70866141732283472" top="0" bottom="0" header="0" footer="0"/>
  <pageSetup paperSize="9" firstPageNumber="4294967295" orientation="landscape" verticalDpi="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N95"/>
  <sheetViews>
    <sheetView topLeftCell="A5" zoomScale="115" workbookViewId="0">
      <selection activeCell="A32" sqref="A32:XFD93"/>
    </sheetView>
  </sheetViews>
  <sheetFormatPr defaultRowHeight="15" x14ac:dyDescent="0.25"/>
  <cols>
    <col min="1" max="1" width="34.85546875" style="95" bestFit="1" customWidth="1"/>
    <col min="2" max="2" width="11.85546875" style="97" bestFit="1" customWidth="1"/>
    <col min="3" max="3" width="10.7109375" style="97" customWidth="1"/>
    <col min="4" max="4" width="9.28515625" style="97" bestFit="1" customWidth="1"/>
    <col min="5" max="5" width="12" style="97" bestFit="1" customWidth="1"/>
    <col min="6" max="6" width="9.28515625" style="97" bestFit="1" customWidth="1"/>
    <col min="7" max="7" width="8" style="97" customWidth="1"/>
    <col min="8" max="8" width="8.140625" style="97" customWidth="1"/>
    <col min="9" max="9" width="8" style="97" customWidth="1"/>
    <col min="10" max="10" width="8.140625" style="97" customWidth="1"/>
    <col min="11" max="12" width="7.7109375" style="97" customWidth="1"/>
    <col min="13" max="13" width="9.28515625" style="97" bestFit="1" customWidth="1"/>
    <col min="14" max="14" width="12.85546875" style="96" bestFit="1" customWidth="1"/>
  </cols>
  <sheetData>
    <row r="1" spans="1:14" x14ac:dyDescent="0.25">
      <c r="A1" s="214" t="s">
        <v>28</v>
      </c>
      <c r="B1" s="302"/>
      <c r="C1" s="302"/>
      <c r="D1" s="302"/>
      <c r="E1" s="302"/>
      <c r="F1" s="303"/>
      <c r="G1" s="303" t="str">
        <f>'ВСЕ затраты'!B1</f>
        <v>2023-2024гг.</v>
      </c>
      <c r="H1" s="302"/>
      <c r="I1" s="302"/>
      <c r="J1" s="302"/>
      <c r="K1" s="302"/>
      <c r="L1" s="302"/>
      <c r="M1" s="302"/>
      <c r="N1" s="217"/>
    </row>
    <row r="2" spans="1:14" x14ac:dyDescent="0.25">
      <c r="A2" s="218"/>
      <c r="B2" s="296" t="s">
        <v>4</v>
      </c>
      <c r="C2" s="296" t="s">
        <v>5</v>
      </c>
      <c r="D2" s="295" t="s">
        <v>6</v>
      </c>
      <c r="E2" s="296" t="s">
        <v>7</v>
      </c>
      <c r="F2" s="296" t="s">
        <v>8</v>
      </c>
      <c r="G2" s="304" t="s">
        <v>9</v>
      </c>
      <c r="H2" s="296" t="s">
        <v>14</v>
      </c>
      <c r="I2" s="304" t="s">
        <v>15</v>
      </c>
      <c r="J2" s="296" t="s">
        <v>16</v>
      </c>
      <c r="K2" s="296" t="s">
        <v>17</v>
      </c>
      <c r="L2" s="296" t="s">
        <v>18</v>
      </c>
      <c r="M2" s="296" t="s">
        <v>19</v>
      </c>
      <c r="N2" s="222" t="s">
        <v>98</v>
      </c>
    </row>
    <row r="3" spans="1:14" x14ac:dyDescent="0.25">
      <c r="A3" s="223"/>
      <c r="B3" s="278"/>
      <c r="C3" s="278"/>
      <c r="D3" s="281"/>
      <c r="E3" s="278"/>
      <c r="F3" s="278"/>
      <c r="G3" s="284"/>
      <c r="H3" s="278"/>
      <c r="I3" s="284"/>
      <c r="J3" s="278"/>
      <c r="K3" s="278"/>
      <c r="L3" s="278"/>
      <c r="M3" s="278"/>
      <c r="N3" s="226"/>
    </row>
    <row r="4" spans="1:14" x14ac:dyDescent="0.25">
      <c r="A4" s="227" t="s">
        <v>99</v>
      </c>
      <c r="B4" s="276">
        <v>11000</v>
      </c>
      <c r="C4" s="276">
        <v>11000</v>
      </c>
      <c r="D4" s="276"/>
      <c r="E4" s="276"/>
      <c r="F4" s="276"/>
      <c r="G4" s="277"/>
      <c r="H4" s="276"/>
      <c r="I4" s="277"/>
      <c r="J4" s="276"/>
      <c r="K4" s="276"/>
      <c r="L4" s="276"/>
      <c r="M4" s="276"/>
      <c r="N4" s="226">
        <f t="shared" ref="N4:N67" si="0">SUM(B4:M4)</f>
        <v>22000</v>
      </c>
    </row>
    <row r="5" spans="1:14" x14ac:dyDescent="0.25">
      <c r="A5" s="227" t="s">
        <v>100</v>
      </c>
      <c r="B5" s="276">
        <f>1000+2000+4000</f>
        <v>7000</v>
      </c>
      <c r="C5" s="276">
        <f>4000+1000</f>
        <v>5000</v>
      </c>
      <c r="D5" s="276"/>
      <c r="E5" s="278"/>
      <c r="F5" s="278"/>
      <c r="G5" s="284"/>
      <c r="H5" s="278"/>
      <c r="I5" s="284"/>
      <c r="J5" s="278"/>
      <c r="K5" s="278"/>
      <c r="L5" s="278"/>
      <c r="M5" s="278"/>
      <c r="N5" s="226">
        <f t="shared" si="0"/>
        <v>12000</v>
      </c>
    </row>
    <row r="6" spans="1:14" x14ac:dyDescent="0.25">
      <c r="A6" s="227" t="s">
        <v>101</v>
      </c>
      <c r="B6" s="276">
        <v>22723.31</v>
      </c>
      <c r="C6" s="276">
        <v>7180.69</v>
      </c>
      <c r="D6" s="276"/>
      <c r="E6" s="305"/>
      <c r="F6" s="276"/>
      <c r="G6" s="277"/>
      <c r="H6" s="276"/>
      <c r="I6" s="276"/>
      <c r="J6" s="276"/>
      <c r="K6" s="276"/>
      <c r="L6" s="276"/>
      <c r="M6" s="276"/>
      <c r="N6" s="226">
        <f t="shared" si="0"/>
        <v>29904</v>
      </c>
    </row>
    <row r="7" spans="1:14" x14ac:dyDescent="0.25">
      <c r="A7" s="227" t="s">
        <v>135</v>
      </c>
      <c r="B7" s="276"/>
      <c r="C7" s="276">
        <v>15628</v>
      </c>
      <c r="D7" s="276"/>
      <c r="E7" s="277"/>
      <c r="F7" s="276"/>
      <c r="G7" s="277"/>
      <c r="H7" s="276"/>
      <c r="I7" s="276"/>
      <c r="J7" s="276"/>
      <c r="K7" s="276"/>
      <c r="L7" s="276"/>
      <c r="M7" s="276"/>
      <c r="N7" s="226">
        <f t="shared" si="0"/>
        <v>15628</v>
      </c>
    </row>
    <row r="8" spans="1:14" x14ac:dyDescent="0.25">
      <c r="A8" s="230" t="s">
        <v>102</v>
      </c>
      <c r="B8" s="276">
        <v>961.6</v>
      </c>
      <c r="C8" s="276"/>
      <c r="D8" s="276"/>
      <c r="E8" s="277"/>
      <c r="F8" s="276"/>
      <c r="G8" s="277"/>
      <c r="H8" s="276"/>
      <c r="I8" s="276"/>
      <c r="J8" s="276"/>
      <c r="K8" s="276"/>
      <c r="L8" s="276"/>
      <c r="M8" s="276"/>
      <c r="N8" s="226">
        <f t="shared" si="0"/>
        <v>961.6</v>
      </c>
    </row>
    <row r="9" spans="1:14" x14ac:dyDescent="0.25">
      <c r="A9" s="223" t="s">
        <v>103</v>
      </c>
      <c r="B9" s="278">
        <f>2127.2+2147.6</f>
        <v>4274.7999999999993</v>
      </c>
      <c r="C9" s="278">
        <f>2167.2+2167.2+2448.08</f>
        <v>6782.48</v>
      </c>
      <c r="D9" s="278"/>
      <c r="E9" s="284"/>
      <c r="F9" s="278"/>
      <c r="G9" s="284"/>
      <c r="H9" s="278"/>
      <c r="I9" s="284"/>
      <c r="J9" s="278"/>
      <c r="K9" s="278"/>
      <c r="L9" s="278"/>
      <c r="M9" s="278"/>
      <c r="N9" s="226">
        <f t="shared" si="0"/>
        <v>11057.279999999999</v>
      </c>
    </row>
    <row r="10" spans="1:14" x14ac:dyDescent="0.25">
      <c r="A10" s="231" t="s">
        <v>104</v>
      </c>
      <c r="B10" s="278"/>
      <c r="C10" s="278"/>
      <c r="D10" s="278"/>
      <c r="E10" s="284"/>
      <c r="F10" s="278"/>
      <c r="G10" s="284"/>
      <c r="H10" s="278"/>
      <c r="I10" s="284"/>
      <c r="J10" s="278"/>
      <c r="K10" s="278"/>
      <c r="L10" s="278"/>
      <c r="M10" s="278"/>
      <c r="N10" s="226">
        <f t="shared" si="0"/>
        <v>0</v>
      </c>
    </row>
    <row r="11" spans="1:14" x14ac:dyDescent="0.25">
      <c r="A11" s="230" t="s">
        <v>105</v>
      </c>
      <c r="B11" s="276"/>
      <c r="C11" s="276"/>
      <c r="D11" s="276"/>
      <c r="E11" s="277"/>
      <c r="F11" s="276"/>
      <c r="G11" s="277"/>
      <c r="H11" s="276"/>
      <c r="I11" s="277"/>
      <c r="J11" s="276"/>
      <c r="K11" s="276"/>
      <c r="L11" s="276"/>
      <c r="M11" s="276"/>
      <c r="N11" s="226">
        <f t="shared" si="0"/>
        <v>0</v>
      </c>
    </row>
    <row r="12" spans="1:14" x14ac:dyDescent="0.25">
      <c r="A12" s="230" t="s">
        <v>106</v>
      </c>
      <c r="B12" s="278"/>
      <c r="C12" s="278">
        <v>6000</v>
      </c>
      <c r="D12" s="278"/>
      <c r="E12" s="284"/>
      <c r="F12" s="278"/>
      <c r="G12" s="284"/>
      <c r="H12" s="278"/>
      <c r="I12" s="284"/>
      <c r="J12" s="278"/>
      <c r="K12" s="278"/>
      <c r="L12" s="278"/>
      <c r="M12" s="278"/>
      <c r="N12" s="226">
        <f t="shared" si="0"/>
        <v>6000</v>
      </c>
    </row>
    <row r="13" spans="1:14" x14ac:dyDescent="0.25">
      <c r="A13" s="230" t="s">
        <v>107</v>
      </c>
      <c r="B13" s="278">
        <v>308</v>
      </c>
      <c r="C13" s="278">
        <v>335</v>
      </c>
      <c r="D13" s="278"/>
      <c r="E13" s="284"/>
      <c r="F13" s="278"/>
      <c r="G13" s="284"/>
      <c r="H13" s="278"/>
      <c r="I13" s="284"/>
      <c r="J13" s="278"/>
      <c r="K13" s="278"/>
      <c r="L13" s="278"/>
      <c r="M13" s="278"/>
      <c r="N13" s="226">
        <f t="shared" si="0"/>
        <v>643</v>
      </c>
    </row>
    <row r="14" spans="1:14" x14ac:dyDescent="0.25">
      <c r="A14" s="230" t="s">
        <v>151</v>
      </c>
      <c r="B14" s="278">
        <v>910</v>
      </c>
      <c r="C14" s="278"/>
      <c r="D14" s="278"/>
      <c r="E14" s="284"/>
      <c r="F14" s="278"/>
      <c r="G14" s="284"/>
      <c r="H14" s="278"/>
      <c r="I14" s="284"/>
      <c r="J14" s="278"/>
      <c r="K14" s="278"/>
      <c r="L14" s="278"/>
      <c r="M14" s="278"/>
      <c r="N14" s="226">
        <f t="shared" si="0"/>
        <v>910</v>
      </c>
    </row>
    <row r="15" spans="1:14" x14ac:dyDescent="0.25">
      <c r="A15" s="230" t="s">
        <v>154</v>
      </c>
      <c r="B15" s="278">
        <f>12200+8960</f>
        <v>21160</v>
      </c>
      <c r="C15" s="278">
        <v>2013</v>
      </c>
      <c r="D15" s="278"/>
      <c r="E15" s="284"/>
      <c r="F15" s="278"/>
      <c r="G15" s="284"/>
      <c r="H15" s="278"/>
      <c r="I15" s="284"/>
      <c r="J15" s="278"/>
      <c r="K15" s="278"/>
      <c r="L15" s="278"/>
      <c r="M15" s="278"/>
      <c r="N15" s="226">
        <f t="shared" si="0"/>
        <v>23173</v>
      </c>
    </row>
    <row r="16" spans="1:14" x14ac:dyDescent="0.25">
      <c r="A16" s="230" t="s">
        <v>155</v>
      </c>
      <c r="B16" s="278">
        <f>8600+400</f>
        <v>9000</v>
      </c>
      <c r="C16" s="278"/>
      <c r="D16" s="278"/>
      <c r="E16" s="284"/>
      <c r="F16" s="278"/>
      <c r="G16" s="284"/>
      <c r="H16" s="278"/>
      <c r="I16" s="284"/>
      <c r="J16" s="278"/>
      <c r="K16" s="278"/>
      <c r="L16" s="278"/>
      <c r="M16" s="278"/>
      <c r="N16" s="226">
        <f t="shared" si="0"/>
        <v>9000</v>
      </c>
    </row>
    <row r="17" spans="1:14" x14ac:dyDescent="0.25">
      <c r="A17" s="232" t="s">
        <v>156</v>
      </c>
      <c r="B17" s="278">
        <v>4890</v>
      </c>
      <c r="C17" s="278"/>
      <c r="D17" s="278"/>
      <c r="E17" s="284"/>
      <c r="F17" s="278"/>
      <c r="G17" s="284"/>
      <c r="H17" s="278"/>
      <c r="I17" s="284"/>
      <c r="J17" s="278"/>
      <c r="K17" s="278"/>
      <c r="L17" s="278"/>
      <c r="M17" s="278"/>
      <c r="N17" s="226">
        <f t="shared" si="0"/>
        <v>4890</v>
      </c>
    </row>
    <row r="18" spans="1:14" ht="25.5" x14ac:dyDescent="0.25">
      <c r="A18" s="233" t="s">
        <v>157</v>
      </c>
      <c r="B18" s="276">
        <v>14551</v>
      </c>
      <c r="C18" s="276"/>
      <c r="D18" s="276"/>
      <c r="E18" s="277"/>
      <c r="F18" s="276"/>
      <c r="G18" s="277"/>
      <c r="H18" s="276"/>
      <c r="I18" s="277"/>
      <c r="J18" s="276"/>
      <c r="K18" s="276"/>
      <c r="L18" s="276"/>
      <c r="M18" s="276"/>
      <c r="N18" s="226">
        <f t="shared" si="0"/>
        <v>14551</v>
      </c>
    </row>
    <row r="19" spans="1:14" x14ac:dyDescent="0.25">
      <c r="A19" s="230" t="s">
        <v>167</v>
      </c>
      <c r="B19" s="278">
        <v>1020</v>
      </c>
      <c r="C19" s="278"/>
      <c r="D19" s="278"/>
      <c r="E19" s="284"/>
      <c r="F19" s="276"/>
      <c r="G19" s="284"/>
      <c r="H19" s="278"/>
      <c r="I19" s="284"/>
      <c r="J19" s="278"/>
      <c r="K19" s="278"/>
      <c r="L19" s="278"/>
      <c r="M19" s="278"/>
      <c r="N19" s="226">
        <f t="shared" si="0"/>
        <v>1020</v>
      </c>
    </row>
    <row r="20" spans="1:14" x14ac:dyDescent="0.25">
      <c r="A20" s="230" t="s">
        <v>168</v>
      </c>
      <c r="B20" s="276">
        <v>120</v>
      </c>
      <c r="C20" s="276"/>
      <c r="D20" s="276"/>
      <c r="E20" s="277"/>
      <c r="F20" s="276"/>
      <c r="G20" s="277"/>
      <c r="H20" s="276"/>
      <c r="I20" s="277"/>
      <c r="J20" s="276"/>
      <c r="K20" s="276"/>
      <c r="L20" s="276"/>
      <c r="M20" s="276"/>
      <c r="N20" s="226">
        <f t="shared" si="0"/>
        <v>120</v>
      </c>
    </row>
    <row r="21" spans="1:14" x14ac:dyDescent="0.25">
      <c r="A21" s="223" t="s">
        <v>169</v>
      </c>
      <c r="B21" s="306">
        <v>784</v>
      </c>
      <c r="C21" s="278"/>
      <c r="D21" s="278"/>
      <c r="E21" s="284"/>
      <c r="F21" s="278"/>
      <c r="G21" s="284"/>
      <c r="H21" s="278"/>
      <c r="I21" s="284"/>
      <c r="J21" s="278"/>
      <c r="K21" s="278"/>
      <c r="L21" s="278"/>
      <c r="M21" s="278"/>
      <c r="N21" s="226">
        <f t="shared" si="0"/>
        <v>784</v>
      </c>
    </row>
    <row r="22" spans="1:14" x14ac:dyDescent="0.25">
      <c r="A22" s="223" t="s">
        <v>171</v>
      </c>
      <c r="B22" s="278"/>
      <c r="C22" s="278">
        <f>1494+53994</f>
        <v>55488</v>
      </c>
      <c r="D22" s="278"/>
      <c r="E22" s="284"/>
      <c r="F22" s="278"/>
      <c r="G22" s="284"/>
      <c r="H22" s="278"/>
      <c r="I22" s="284"/>
      <c r="J22" s="278"/>
      <c r="K22" s="278"/>
      <c r="L22" s="278"/>
      <c r="M22" s="278"/>
      <c r="N22" s="226">
        <f t="shared" si="0"/>
        <v>55488</v>
      </c>
    </row>
    <row r="23" spans="1:14" x14ac:dyDescent="0.25">
      <c r="A23" s="231" t="s">
        <v>177</v>
      </c>
      <c r="B23" s="278"/>
      <c r="C23" s="278">
        <v>2100</v>
      </c>
      <c r="D23" s="278"/>
      <c r="E23" s="284"/>
      <c r="F23" s="278"/>
      <c r="G23" s="284"/>
      <c r="H23" s="278"/>
      <c r="I23" s="284"/>
      <c r="J23" s="278"/>
      <c r="K23" s="278"/>
      <c r="L23" s="278"/>
      <c r="M23" s="278"/>
      <c r="N23" s="226">
        <f t="shared" si="0"/>
        <v>2100</v>
      </c>
    </row>
    <row r="24" spans="1:14" x14ac:dyDescent="0.25">
      <c r="A24" s="230" t="s">
        <v>181</v>
      </c>
      <c r="B24" s="276"/>
      <c r="C24" s="276">
        <v>8352</v>
      </c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26">
        <f t="shared" si="0"/>
        <v>8352</v>
      </c>
    </row>
    <row r="25" spans="1:14" x14ac:dyDescent="0.25">
      <c r="A25" s="230" t="s">
        <v>182</v>
      </c>
      <c r="B25" s="276"/>
      <c r="C25" s="305">
        <v>617</v>
      </c>
      <c r="D25" s="276"/>
      <c r="E25" s="284"/>
      <c r="F25" s="278"/>
      <c r="G25" s="284"/>
      <c r="H25" s="278"/>
      <c r="I25" s="284"/>
      <c r="J25" s="278"/>
      <c r="K25" s="278"/>
      <c r="L25" s="278"/>
      <c r="M25" s="278"/>
      <c r="N25" s="226">
        <f t="shared" si="0"/>
        <v>617</v>
      </c>
    </row>
    <row r="26" spans="1:14" x14ac:dyDescent="0.25">
      <c r="A26" s="235" t="s">
        <v>183</v>
      </c>
      <c r="B26" s="283"/>
      <c r="C26" s="307">
        <v>129</v>
      </c>
      <c r="D26" s="276"/>
      <c r="E26" s="284"/>
      <c r="F26" s="278"/>
      <c r="G26" s="284"/>
      <c r="H26" s="278"/>
      <c r="I26" s="284"/>
      <c r="J26" s="278"/>
      <c r="K26" s="278"/>
      <c r="L26" s="278"/>
      <c r="M26" s="278"/>
      <c r="N26" s="226">
        <f t="shared" si="0"/>
        <v>129</v>
      </c>
    </row>
    <row r="27" spans="1:14" x14ac:dyDescent="0.25">
      <c r="A27" s="301" t="s">
        <v>184</v>
      </c>
      <c r="B27" s="283"/>
      <c r="C27" s="283">
        <v>422</v>
      </c>
      <c r="D27" s="305"/>
      <c r="E27" s="278"/>
      <c r="F27" s="278"/>
      <c r="G27" s="284"/>
      <c r="H27" s="278"/>
      <c r="I27" s="284"/>
      <c r="J27" s="278"/>
      <c r="K27" s="278"/>
      <c r="L27" s="278"/>
      <c r="M27" s="278"/>
      <c r="N27" s="226">
        <f t="shared" si="0"/>
        <v>422</v>
      </c>
    </row>
    <row r="28" spans="1:14" x14ac:dyDescent="0.25">
      <c r="A28" s="235" t="s">
        <v>194</v>
      </c>
      <c r="B28" s="283"/>
      <c r="C28" s="283">
        <v>985</v>
      </c>
      <c r="D28" s="276"/>
      <c r="E28" s="278"/>
      <c r="F28" s="278"/>
      <c r="G28" s="284"/>
      <c r="H28" s="278"/>
      <c r="I28" s="284"/>
      <c r="J28" s="278"/>
      <c r="K28" s="278"/>
      <c r="L28" s="278"/>
      <c r="M28" s="278"/>
      <c r="N28" s="226">
        <f t="shared" si="0"/>
        <v>985</v>
      </c>
    </row>
    <row r="29" spans="1:14" x14ac:dyDescent="0.25">
      <c r="A29" s="230" t="s">
        <v>195</v>
      </c>
      <c r="B29" s="276"/>
      <c r="C29" s="276">
        <v>1888</v>
      </c>
      <c r="D29" s="276"/>
      <c r="E29" s="276"/>
      <c r="F29" s="276"/>
      <c r="G29" s="277"/>
      <c r="H29" s="276"/>
      <c r="I29" s="276"/>
      <c r="J29" s="276"/>
      <c r="K29" s="276"/>
      <c r="L29" s="276"/>
      <c r="M29" s="276"/>
      <c r="N29" s="226">
        <f t="shared" si="0"/>
        <v>1888</v>
      </c>
    </row>
    <row r="30" spans="1:14" x14ac:dyDescent="0.25">
      <c r="A30" s="223" t="s">
        <v>196</v>
      </c>
      <c r="B30" s="278"/>
      <c r="C30" s="278">
        <v>2035</v>
      </c>
      <c r="D30" s="278"/>
      <c r="E30" s="284"/>
      <c r="F30" s="276"/>
      <c r="G30" s="277"/>
      <c r="H30" s="276"/>
      <c r="I30" s="276"/>
      <c r="J30" s="276"/>
      <c r="K30" s="276"/>
      <c r="L30" s="276"/>
      <c r="M30" s="276"/>
      <c r="N30" s="226">
        <f t="shared" si="0"/>
        <v>2035</v>
      </c>
    </row>
    <row r="31" spans="1:14" x14ac:dyDescent="0.25">
      <c r="A31" s="223" t="s">
        <v>201</v>
      </c>
      <c r="B31" s="278"/>
      <c r="C31" s="278">
        <v>200</v>
      </c>
      <c r="D31" s="278"/>
      <c r="E31" s="284"/>
      <c r="F31" s="276"/>
      <c r="G31" s="277"/>
      <c r="H31" s="276"/>
      <c r="I31" s="276"/>
      <c r="J31" s="276"/>
      <c r="K31" s="276"/>
      <c r="L31" s="276"/>
      <c r="M31" s="276"/>
      <c r="N31" s="226">
        <f t="shared" si="0"/>
        <v>200</v>
      </c>
    </row>
    <row r="32" spans="1:14" x14ac:dyDescent="0.25">
      <c r="A32" s="230"/>
      <c r="B32" s="276"/>
      <c r="C32" s="276"/>
      <c r="D32" s="276"/>
      <c r="E32" s="277"/>
      <c r="F32" s="276"/>
      <c r="G32" s="277"/>
      <c r="H32" s="276"/>
      <c r="I32" s="276"/>
      <c r="J32" s="276"/>
      <c r="K32" s="276"/>
      <c r="L32" s="276"/>
      <c r="M32" s="276"/>
      <c r="N32" s="226">
        <f t="shared" si="0"/>
        <v>0</v>
      </c>
    </row>
    <row r="33" spans="1:14" x14ac:dyDescent="0.25">
      <c r="A33" s="223"/>
      <c r="B33" s="276"/>
      <c r="C33" s="276"/>
      <c r="D33" s="276"/>
      <c r="E33" s="277"/>
      <c r="F33" s="276"/>
      <c r="G33" s="277"/>
      <c r="H33" s="276"/>
      <c r="I33" s="276"/>
      <c r="J33" s="276"/>
      <c r="K33" s="276"/>
      <c r="L33" s="276"/>
      <c r="M33" s="276"/>
      <c r="N33" s="226">
        <f t="shared" si="0"/>
        <v>0</v>
      </c>
    </row>
    <row r="34" spans="1:14" x14ac:dyDescent="0.25">
      <c r="A34" s="223"/>
      <c r="B34" s="276"/>
      <c r="C34" s="276"/>
      <c r="D34" s="276"/>
      <c r="E34" s="277"/>
      <c r="F34" s="276"/>
      <c r="G34" s="277"/>
      <c r="H34" s="276"/>
      <c r="I34" s="276"/>
      <c r="J34" s="276"/>
      <c r="K34" s="276"/>
      <c r="L34" s="276"/>
      <c r="M34" s="276"/>
      <c r="N34" s="226">
        <f t="shared" si="0"/>
        <v>0</v>
      </c>
    </row>
    <row r="35" spans="1:14" x14ac:dyDescent="0.25">
      <c r="A35" s="223"/>
      <c r="B35" s="276"/>
      <c r="C35" s="276"/>
      <c r="D35" s="276"/>
      <c r="E35" s="276"/>
      <c r="F35" s="276"/>
      <c r="G35" s="277"/>
      <c r="H35" s="276"/>
      <c r="I35" s="276"/>
      <c r="J35" s="276"/>
      <c r="K35" s="276"/>
      <c r="L35" s="276"/>
      <c r="M35" s="276"/>
      <c r="N35" s="226">
        <f t="shared" si="0"/>
        <v>0</v>
      </c>
    </row>
    <row r="36" spans="1:14" x14ac:dyDescent="0.25">
      <c r="A36" s="223"/>
      <c r="B36" s="276"/>
      <c r="C36" s="276"/>
      <c r="D36" s="276"/>
      <c r="E36" s="276"/>
      <c r="F36" s="276"/>
      <c r="G36" s="277"/>
      <c r="H36" s="276"/>
      <c r="I36" s="276"/>
      <c r="J36" s="276"/>
      <c r="K36" s="276"/>
      <c r="L36" s="276"/>
      <c r="M36" s="276"/>
      <c r="N36" s="226">
        <f t="shared" si="0"/>
        <v>0</v>
      </c>
    </row>
    <row r="37" spans="1:14" x14ac:dyDescent="0.25">
      <c r="A37" s="232"/>
      <c r="B37" s="276"/>
      <c r="C37" s="276"/>
      <c r="D37" s="276"/>
      <c r="E37" s="276"/>
      <c r="F37" s="276"/>
      <c r="G37" s="277"/>
      <c r="H37" s="276"/>
      <c r="I37" s="276"/>
      <c r="J37" s="276"/>
      <c r="K37" s="276"/>
      <c r="L37" s="276"/>
      <c r="M37" s="276"/>
      <c r="N37" s="226">
        <f t="shared" si="0"/>
        <v>0</v>
      </c>
    </row>
    <row r="38" spans="1:14" x14ac:dyDescent="0.25">
      <c r="A38" s="230"/>
      <c r="B38" s="276"/>
      <c r="C38" s="276"/>
      <c r="D38" s="276"/>
      <c r="E38" s="276"/>
      <c r="F38" s="276"/>
      <c r="G38" s="277"/>
      <c r="H38" s="276"/>
      <c r="I38" s="276"/>
      <c r="J38" s="276"/>
      <c r="K38" s="276"/>
      <c r="L38" s="276"/>
      <c r="M38" s="276"/>
      <c r="N38" s="226">
        <f t="shared" si="0"/>
        <v>0</v>
      </c>
    </row>
    <row r="39" spans="1:14" x14ac:dyDescent="0.25">
      <c r="A39" s="230"/>
      <c r="B39" s="276"/>
      <c r="C39" s="276"/>
      <c r="D39" s="276"/>
      <c r="E39" s="276"/>
      <c r="F39" s="276"/>
      <c r="G39" s="277"/>
      <c r="H39" s="276"/>
      <c r="I39" s="276"/>
      <c r="J39" s="276"/>
      <c r="K39" s="276"/>
      <c r="L39" s="276"/>
      <c r="M39" s="276"/>
      <c r="N39" s="226">
        <f t="shared" si="0"/>
        <v>0</v>
      </c>
    </row>
    <row r="40" spans="1:14" x14ac:dyDescent="0.25">
      <c r="A40" s="232"/>
      <c r="B40" s="276"/>
      <c r="C40" s="276"/>
      <c r="D40" s="276"/>
      <c r="E40" s="276"/>
      <c r="F40" s="276"/>
      <c r="G40" s="277"/>
      <c r="H40" s="276"/>
      <c r="I40" s="276"/>
      <c r="J40" s="276"/>
      <c r="K40" s="276"/>
      <c r="L40" s="276"/>
      <c r="M40" s="276"/>
      <c r="N40" s="226">
        <f t="shared" si="0"/>
        <v>0</v>
      </c>
    </row>
    <row r="41" spans="1:14" x14ac:dyDescent="0.25">
      <c r="A41" s="232"/>
      <c r="B41" s="276"/>
      <c r="C41" s="276"/>
      <c r="D41" s="276"/>
      <c r="E41" s="278"/>
      <c r="F41" s="278"/>
      <c r="G41" s="284"/>
      <c r="H41" s="278"/>
      <c r="I41" s="284"/>
      <c r="J41" s="278"/>
      <c r="K41" s="278"/>
      <c r="L41" s="278"/>
      <c r="M41" s="278"/>
      <c r="N41" s="226">
        <f t="shared" si="0"/>
        <v>0</v>
      </c>
    </row>
    <row r="42" spans="1:14" x14ac:dyDescent="0.25">
      <c r="A42" s="230"/>
      <c r="B42" s="276"/>
      <c r="C42" s="276"/>
      <c r="D42" s="276"/>
      <c r="E42" s="276"/>
      <c r="F42" s="276"/>
      <c r="G42" s="277"/>
      <c r="H42" s="276"/>
      <c r="I42" s="276"/>
      <c r="J42" s="276"/>
      <c r="K42" s="276"/>
      <c r="L42" s="276"/>
      <c r="M42" s="276"/>
      <c r="N42" s="226">
        <f t="shared" si="0"/>
        <v>0</v>
      </c>
    </row>
    <row r="43" spans="1:14" x14ac:dyDescent="0.25">
      <c r="A43" s="230"/>
      <c r="B43" s="276"/>
      <c r="C43" s="276"/>
      <c r="D43" s="276"/>
      <c r="E43" s="276"/>
      <c r="F43" s="276"/>
      <c r="G43" s="277"/>
      <c r="H43" s="276"/>
      <c r="I43" s="276"/>
      <c r="J43" s="276"/>
      <c r="K43" s="276"/>
      <c r="L43" s="276"/>
      <c r="M43" s="276"/>
      <c r="N43" s="226">
        <f t="shared" si="0"/>
        <v>0</v>
      </c>
    </row>
    <row r="44" spans="1:14" x14ac:dyDescent="0.25">
      <c r="A44" s="230"/>
      <c r="B44" s="276"/>
      <c r="C44" s="276"/>
      <c r="D44" s="276"/>
      <c r="E44" s="276"/>
      <c r="F44" s="276"/>
      <c r="G44" s="277"/>
      <c r="H44" s="276"/>
      <c r="I44" s="276"/>
      <c r="J44" s="276"/>
      <c r="K44" s="276"/>
      <c r="L44" s="276"/>
      <c r="M44" s="276"/>
      <c r="N44" s="226">
        <f t="shared" si="0"/>
        <v>0</v>
      </c>
    </row>
    <row r="45" spans="1:14" x14ac:dyDescent="0.25">
      <c r="A45" s="230"/>
      <c r="B45" s="276"/>
      <c r="C45" s="276"/>
      <c r="D45" s="276"/>
      <c r="E45" s="276"/>
      <c r="F45" s="276"/>
      <c r="G45" s="277"/>
      <c r="H45" s="276"/>
      <c r="I45" s="276"/>
      <c r="J45" s="276"/>
      <c r="K45" s="276"/>
      <c r="L45" s="276"/>
      <c r="M45" s="276"/>
      <c r="N45" s="226">
        <f t="shared" si="0"/>
        <v>0</v>
      </c>
    </row>
    <row r="46" spans="1:14" x14ac:dyDescent="0.25">
      <c r="A46" s="230"/>
      <c r="B46" s="276"/>
      <c r="C46" s="276"/>
      <c r="D46" s="276"/>
      <c r="E46" s="276"/>
      <c r="F46" s="276"/>
      <c r="G46" s="277"/>
      <c r="H46" s="276"/>
      <c r="I46" s="276"/>
      <c r="J46" s="276"/>
      <c r="K46" s="276"/>
      <c r="L46" s="276"/>
      <c r="M46" s="276"/>
      <c r="N46" s="226">
        <f t="shared" si="0"/>
        <v>0</v>
      </c>
    </row>
    <row r="47" spans="1:14" x14ac:dyDescent="0.25">
      <c r="A47" s="230"/>
      <c r="B47" s="276"/>
      <c r="C47" s="276"/>
      <c r="D47" s="276"/>
      <c r="E47" s="276"/>
      <c r="F47" s="276"/>
      <c r="G47" s="277"/>
      <c r="H47" s="276"/>
      <c r="I47" s="276"/>
      <c r="J47" s="276"/>
      <c r="K47" s="276"/>
      <c r="L47" s="276"/>
      <c r="M47" s="276"/>
      <c r="N47" s="226">
        <f t="shared" si="0"/>
        <v>0</v>
      </c>
    </row>
    <row r="48" spans="1:14" x14ac:dyDescent="0.25">
      <c r="A48" s="230"/>
      <c r="B48" s="276"/>
      <c r="C48" s="276"/>
      <c r="D48" s="276"/>
      <c r="E48" s="276"/>
      <c r="F48" s="276"/>
      <c r="G48" s="277"/>
      <c r="H48" s="276"/>
      <c r="I48" s="276"/>
      <c r="J48" s="276"/>
      <c r="K48" s="276"/>
      <c r="L48" s="276"/>
      <c r="M48" s="276"/>
      <c r="N48" s="226">
        <f t="shared" si="0"/>
        <v>0</v>
      </c>
    </row>
    <row r="49" spans="1:14" x14ac:dyDescent="0.25">
      <c r="A49" s="232"/>
      <c r="B49" s="276"/>
      <c r="C49" s="276"/>
      <c r="D49" s="276"/>
      <c r="E49" s="276"/>
      <c r="F49" s="276"/>
      <c r="G49" s="277"/>
      <c r="H49" s="276"/>
      <c r="I49" s="276"/>
      <c r="J49" s="276"/>
      <c r="K49" s="276"/>
      <c r="L49" s="276"/>
      <c r="M49" s="276"/>
      <c r="N49" s="226">
        <f t="shared" si="0"/>
        <v>0</v>
      </c>
    </row>
    <row r="50" spans="1:14" x14ac:dyDescent="0.25">
      <c r="A50" s="230"/>
      <c r="B50" s="276"/>
      <c r="C50" s="276"/>
      <c r="D50" s="276"/>
      <c r="E50" s="276"/>
      <c r="F50" s="276"/>
      <c r="G50" s="277"/>
      <c r="H50" s="276"/>
      <c r="I50" s="276"/>
      <c r="J50" s="276"/>
      <c r="K50" s="276"/>
      <c r="L50" s="276"/>
      <c r="M50" s="276"/>
      <c r="N50" s="226">
        <f t="shared" si="0"/>
        <v>0</v>
      </c>
    </row>
    <row r="51" spans="1:14" x14ac:dyDescent="0.25">
      <c r="A51" s="230"/>
      <c r="B51" s="276"/>
      <c r="C51" s="276"/>
      <c r="D51" s="276"/>
      <c r="E51" s="276"/>
      <c r="F51" s="276"/>
      <c r="G51" s="277"/>
      <c r="H51" s="276"/>
      <c r="I51" s="276"/>
      <c r="J51" s="276"/>
      <c r="K51" s="276"/>
      <c r="L51" s="276"/>
      <c r="M51" s="276"/>
      <c r="N51" s="226">
        <f t="shared" si="0"/>
        <v>0</v>
      </c>
    </row>
    <row r="52" spans="1:14" x14ac:dyDescent="0.25">
      <c r="A52" s="230"/>
      <c r="B52" s="276"/>
      <c r="C52" s="276"/>
      <c r="D52" s="276"/>
      <c r="E52" s="276"/>
      <c r="F52" s="276"/>
      <c r="G52" s="277"/>
      <c r="H52" s="276"/>
      <c r="I52" s="276"/>
      <c r="J52" s="276"/>
      <c r="K52" s="276"/>
      <c r="L52" s="276"/>
      <c r="M52" s="276"/>
      <c r="N52" s="226">
        <f t="shared" si="0"/>
        <v>0</v>
      </c>
    </row>
    <row r="53" spans="1:14" x14ac:dyDescent="0.25">
      <c r="A53" s="230"/>
      <c r="B53" s="276"/>
      <c r="C53" s="276"/>
      <c r="D53" s="276"/>
      <c r="E53" s="276"/>
      <c r="F53" s="276"/>
      <c r="G53" s="277"/>
      <c r="H53" s="276"/>
      <c r="I53" s="305"/>
      <c r="J53" s="276"/>
      <c r="K53" s="276"/>
      <c r="L53" s="276"/>
      <c r="M53" s="276"/>
      <c r="N53" s="226">
        <f t="shared" si="0"/>
        <v>0</v>
      </c>
    </row>
    <row r="54" spans="1:14" x14ac:dyDescent="0.25">
      <c r="A54" s="230"/>
      <c r="B54" s="276"/>
      <c r="C54" s="276"/>
      <c r="D54" s="276"/>
      <c r="E54" s="276"/>
      <c r="F54" s="276"/>
      <c r="G54" s="277"/>
      <c r="H54" s="276"/>
      <c r="I54" s="276"/>
      <c r="J54" s="276"/>
      <c r="K54" s="276"/>
      <c r="L54" s="276"/>
      <c r="M54" s="276"/>
      <c r="N54" s="226">
        <f t="shared" si="0"/>
        <v>0</v>
      </c>
    </row>
    <row r="55" spans="1:14" x14ac:dyDescent="0.25">
      <c r="A55" s="230"/>
      <c r="B55" s="276"/>
      <c r="C55" s="276"/>
      <c r="D55" s="276"/>
      <c r="E55" s="276"/>
      <c r="F55" s="276"/>
      <c r="G55" s="277"/>
      <c r="H55" s="276"/>
      <c r="I55" s="276"/>
      <c r="J55" s="276"/>
      <c r="K55" s="276"/>
      <c r="L55" s="276"/>
      <c r="M55" s="276"/>
      <c r="N55" s="226">
        <f t="shared" si="0"/>
        <v>0</v>
      </c>
    </row>
    <row r="56" spans="1:14" x14ac:dyDescent="0.25">
      <c r="A56" s="230"/>
      <c r="B56" s="276"/>
      <c r="C56" s="276"/>
      <c r="D56" s="276"/>
      <c r="E56" s="276"/>
      <c r="F56" s="276"/>
      <c r="G56" s="277"/>
      <c r="H56" s="276"/>
      <c r="I56" s="276"/>
      <c r="J56" s="276"/>
      <c r="K56" s="276"/>
      <c r="L56" s="276"/>
      <c r="M56" s="276"/>
      <c r="N56" s="226">
        <f t="shared" si="0"/>
        <v>0</v>
      </c>
    </row>
    <row r="57" spans="1:14" x14ac:dyDescent="0.25">
      <c r="A57" s="230"/>
      <c r="B57" s="276"/>
      <c r="C57" s="276"/>
      <c r="D57" s="276"/>
      <c r="E57" s="276"/>
      <c r="F57" s="276"/>
      <c r="G57" s="277"/>
      <c r="H57" s="276"/>
      <c r="I57" s="276"/>
      <c r="J57" s="276"/>
      <c r="K57" s="276"/>
      <c r="L57" s="276"/>
      <c r="M57" s="276"/>
      <c r="N57" s="226">
        <f t="shared" si="0"/>
        <v>0</v>
      </c>
    </row>
    <row r="58" spans="1:14" x14ac:dyDescent="0.25">
      <c r="A58" s="230"/>
      <c r="B58" s="276"/>
      <c r="C58" s="276"/>
      <c r="D58" s="276"/>
      <c r="E58" s="276"/>
      <c r="F58" s="276"/>
      <c r="G58" s="277"/>
      <c r="H58" s="276"/>
      <c r="I58" s="276"/>
      <c r="J58" s="276"/>
      <c r="K58" s="276"/>
      <c r="L58" s="276"/>
      <c r="M58" s="276"/>
      <c r="N58" s="226">
        <f t="shared" si="0"/>
        <v>0</v>
      </c>
    </row>
    <row r="59" spans="1:14" x14ac:dyDescent="0.25">
      <c r="A59" s="230"/>
      <c r="B59" s="276"/>
      <c r="C59" s="276"/>
      <c r="D59" s="276"/>
      <c r="E59" s="276"/>
      <c r="F59" s="276"/>
      <c r="G59" s="277"/>
      <c r="H59" s="276"/>
      <c r="I59" s="276"/>
      <c r="J59" s="276"/>
      <c r="K59" s="276"/>
      <c r="L59" s="276"/>
      <c r="M59" s="276"/>
      <c r="N59" s="226">
        <f t="shared" si="0"/>
        <v>0</v>
      </c>
    </row>
    <row r="60" spans="1:14" x14ac:dyDescent="0.25">
      <c r="A60" s="230"/>
      <c r="B60" s="276"/>
      <c r="C60" s="276"/>
      <c r="D60" s="276"/>
      <c r="E60" s="276"/>
      <c r="F60" s="276"/>
      <c r="G60" s="277"/>
      <c r="H60" s="276"/>
      <c r="I60" s="276"/>
      <c r="J60" s="276"/>
      <c r="K60" s="276"/>
      <c r="L60" s="276"/>
      <c r="M60" s="276"/>
      <c r="N60" s="226">
        <f t="shared" si="0"/>
        <v>0</v>
      </c>
    </row>
    <row r="61" spans="1:14" x14ac:dyDescent="0.25">
      <c r="A61" s="230"/>
      <c r="B61" s="276"/>
      <c r="C61" s="276"/>
      <c r="D61" s="276"/>
      <c r="E61" s="276"/>
      <c r="F61" s="276"/>
      <c r="G61" s="277"/>
      <c r="H61" s="276"/>
      <c r="I61" s="276"/>
      <c r="J61" s="276"/>
      <c r="K61" s="276"/>
      <c r="L61" s="276"/>
      <c r="M61" s="276"/>
      <c r="N61" s="226">
        <f t="shared" si="0"/>
        <v>0</v>
      </c>
    </row>
    <row r="62" spans="1:14" x14ac:dyDescent="0.25">
      <c r="A62" s="230"/>
      <c r="B62" s="276"/>
      <c r="C62" s="276"/>
      <c r="D62" s="276"/>
      <c r="E62" s="276"/>
      <c r="F62" s="276"/>
      <c r="G62" s="277"/>
      <c r="H62" s="276"/>
      <c r="I62" s="276"/>
      <c r="J62" s="276"/>
      <c r="K62" s="276"/>
      <c r="L62" s="276"/>
      <c r="M62" s="276"/>
      <c r="N62" s="226">
        <f t="shared" si="0"/>
        <v>0</v>
      </c>
    </row>
    <row r="63" spans="1:14" x14ac:dyDescent="0.25">
      <c r="A63" s="230"/>
      <c r="B63" s="276"/>
      <c r="C63" s="276"/>
      <c r="D63" s="276"/>
      <c r="E63" s="276"/>
      <c r="F63" s="276"/>
      <c r="G63" s="277"/>
      <c r="H63" s="276"/>
      <c r="I63" s="276"/>
      <c r="J63" s="276"/>
      <c r="K63" s="276"/>
      <c r="L63" s="276"/>
      <c r="M63" s="276"/>
      <c r="N63" s="226">
        <f t="shared" si="0"/>
        <v>0</v>
      </c>
    </row>
    <row r="64" spans="1:14" x14ac:dyDescent="0.25">
      <c r="A64" s="230"/>
      <c r="B64" s="276"/>
      <c r="C64" s="276"/>
      <c r="D64" s="276"/>
      <c r="E64" s="276"/>
      <c r="F64" s="276"/>
      <c r="G64" s="277"/>
      <c r="H64" s="276"/>
      <c r="I64" s="276"/>
      <c r="J64" s="276"/>
      <c r="K64" s="276"/>
      <c r="L64" s="276"/>
      <c r="M64" s="276"/>
      <c r="N64" s="226">
        <f t="shared" si="0"/>
        <v>0</v>
      </c>
    </row>
    <row r="65" spans="1:14" x14ac:dyDescent="0.25">
      <c r="A65" s="230"/>
      <c r="B65" s="276"/>
      <c r="C65" s="276"/>
      <c r="D65" s="276"/>
      <c r="E65" s="276"/>
      <c r="F65" s="276"/>
      <c r="G65" s="277"/>
      <c r="H65" s="276"/>
      <c r="I65" s="276"/>
      <c r="J65" s="276"/>
      <c r="K65" s="276"/>
      <c r="L65" s="276"/>
      <c r="M65" s="276"/>
      <c r="N65" s="226">
        <f t="shared" si="0"/>
        <v>0</v>
      </c>
    </row>
    <row r="66" spans="1:14" x14ac:dyDescent="0.25">
      <c r="A66" s="230"/>
      <c r="B66" s="276"/>
      <c r="C66" s="276"/>
      <c r="D66" s="276"/>
      <c r="E66" s="276"/>
      <c r="F66" s="276"/>
      <c r="G66" s="277"/>
      <c r="H66" s="276"/>
      <c r="I66" s="276"/>
      <c r="J66" s="276"/>
      <c r="K66" s="276"/>
      <c r="L66" s="276"/>
      <c r="M66" s="276"/>
      <c r="N66" s="226">
        <f t="shared" si="0"/>
        <v>0</v>
      </c>
    </row>
    <row r="67" spans="1:14" x14ac:dyDescent="0.25">
      <c r="A67" s="230"/>
      <c r="B67" s="276"/>
      <c r="C67" s="276"/>
      <c r="D67" s="276"/>
      <c r="E67" s="276"/>
      <c r="F67" s="276"/>
      <c r="G67" s="277"/>
      <c r="H67" s="276"/>
      <c r="I67" s="276"/>
      <c r="J67" s="276"/>
      <c r="K67" s="276"/>
      <c r="L67" s="276"/>
      <c r="M67" s="276"/>
      <c r="N67" s="226">
        <f t="shared" si="0"/>
        <v>0</v>
      </c>
    </row>
    <row r="68" spans="1:14" x14ac:dyDescent="0.25">
      <c r="A68" s="230"/>
      <c r="B68" s="276"/>
      <c r="C68" s="276"/>
      <c r="D68" s="276"/>
      <c r="E68" s="276"/>
      <c r="F68" s="276"/>
      <c r="G68" s="277"/>
      <c r="H68" s="276"/>
      <c r="I68" s="276"/>
      <c r="J68" s="276"/>
      <c r="K68" s="276"/>
      <c r="L68" s="276"/>
      <c r="M68" s="276"/>
      <c r="N68" s="226">
        <f t="shared" ref="N68:N93" si="1">SUM(B68:M68)</f>
        <v>0</v>
      </c>
    </row>
    <row r="69" spans="1:14" x14ac:dyDescent="0.25">
      <c r="A69" s="230"/>
      <c r="B69" s="276"/>
      <c r="C69" s="276"/>
      <c r="D69" s="276"/>
      <c r="E69" s="276"/>
      <c r="F69" s="276"/>
      <c r="G69" s="277"/>
      <c r="H69" s="276"/>
      <c r="I69" s="276"/>
      <c r="J69" s="276"/>
      <c r="K69" s="276"/>
      <c r="L69" s="276"/>
      <c r="M69" s="276"/>
      <c r="N69" s="226">
        <f t="shared" si="1"/>
        <v>0</v>
      </c>
    </row>
    <row r="70" spans="1:14" x14ac:dyDescent="0.25">
      <c r="A70" s="230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26">
        <f t="shared" si="1"/>
        <v>0</v>
      </c>
    </row>
    <row r="71" spans="1:14" x14ac:dyDescent="0.25">
      <c r="A71" s="230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26">
        <f t="shared" si="1"/>
        <v>0</v>
      </c>
    </row>
    <row r="72" spans="1:14" x14ac:dyDescent="0.25">
      <c r="A72" s="230"/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26">
        <f t="shared" si="1"/>
        <v>0</v>
      </c>
    </row>
    <row r="73" spans="1:14" x14ac:dyDescent="0.25">
      <c r="A73" s="230"/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26">
        <f t="shared" si="1"/>
        <v>0</v>
      </c>
    </row>
    <row r="74" spans="1:14" x14ac:dyDescent="0.25">
      <c r="A74" s="230"/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26">
        <f t="shared" si="1"/>
        <v>0</v>
      </c>
    </row>
    <row r="75" spans="1:14" x14ac:dyDescent="0.25">
      <c r="A75" s="230"/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26">
        <f t="shared" si="1"/>
        <v>0</v>
      </c>
    </row>
    <row r="76" spans="1:14" x14ac:dyDescent="0.25">
      <c r="A76" s="230"/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26">
        <f t="shared" si="1"/>
        <v>0</v>
      </c>
    </row>
    <row r="77" spans="1:14" x14ac:dyDescent="0.25">
      <c r="A77" s="230"/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26">
        <f t="shared" si="1"/>
        <v>0</v>
      </c>
    </row>
    <row r="78" spans="1:14" x14ac:dyDescent="0.25">
      <c r="A78" s="230"/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26">
        <f t="shared" si="1"/>
        <v>0</v>
      </c>
    </row>
    <row r="79" spans="1:14" x14ac:dyDescent="0.25">
      <c r="A79" s="230"/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26">
        <f t="shared" si="1"/>
        <v>0</v>
      </c>
    </row>
    <row r="80" spans="1:14" x14ac:dyDescent="0.25">
      <c r="A80" s="230"/>
      <c r="B80" s="278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26">
        <f t="shared" si="1"/>
        <v>0</v>
      </c>
    </row>
    <row r="81" spans="1:14" x14ac:dyDescent="0.25">
      <c r="A81" s="230"/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26">
        <f t="shared" si="1"/>
        <v>0</v>
      </c>
    </row>
    <row r="82" spans="1:14" x14ac:dyDescent="0.25">
      <c r="A82" s="230"/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26">
        <f t="shared" si="1"/>
        <v>0</v>
      </c>
    </row>
    <row r="83" spans="1:14" x14ac:dyDescent="0.25">
      <c r="A83" s="230"/>
      <c r="B83" s="278"/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26">
        <f t="shared" si="1"/>
        <v>0</v>
      </c>
    </row>
    <row r="84" spans="1:14" x14ac:dyDescent="0.25">
      <c r="A84" s="230"/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26">
        <f t="shared" si="1"/>
        <v>0</v>
      </c>
    </row>
    <row r="85" spans="1:14" x14ac:dyDescent="0.25">
      <c r="A85" s="230"/>
      <c r="B85" s="278"/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26">
        <f t="shared" si="1"/>
        <v>0</v>
      </c>
    </row>
    <row r="86" spans="1:14" x14ac:dyDescent="0.25">
      <c r="A86" s="230"/>
      <c r="B86" s="278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26">
        <f t="shared" si="1"/>
        <v>0</v>
      </c>
    </row>
    <row r="87" spans="1:14" x14ac:dyDescent="0.25">
      <c r="A87" s="230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26">
        <f t="shared" si="1"/>
        <v>0</v>
      </c>
    </row>
    <row r="88" spans="1:14" x14ac:dyDescent="0.25">
      <c r="A88" s="230"/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26">
        <f t="shared" si="1"/>
        <v>0</v>
      </c>
    </row>
    <row r="89" spans="1:14" x14ac:dyDescent="0.25">
      <c r="A89" s="230"/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26">
        <f t="shared" si="1"/>
        <v>0</v>
      </c>
    </row>
    <row r="90" spans="1:14" x14ac:dyDescent="0.25">
      <c r="A90" s="230"/>
      <c r="B90" s="278"/>
      <c r="C90" s="278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26">
        <f t="shared" si="1"/>
        <v>0</v>
      </c>
    </row>
    <row r="91" spans="1:14" x14ac:dyDescent="0.25">
      <c r="A91" s="230"/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26">
        <f t="shared" si="1"/>
        <v>0</v>
      </c>
    </row>
    <row r="92" spans="1:14" x14ac:dyDescent="0.25">
      <c r="A92" s="230"/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26">
        <f t="shared" si="1"/>
        <v>0</v>
      </c>
    </row>
    <row r="93" spans="1:14" x14ac:dyDescent="0.25">
      <c r="A93" s="235"/>
      <c r="B93" s="283"/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26">
        <f t="shared" si="1"/>
        <v>0</v>
      </c>
    </row>
    <row r="94" spans="1:14" x14ac:dyDescent="0.25">
      <c r="A94" s="214" t="s">
        <v>98</v>
      </c>
      <c r="B94" s="297">
        <f t="shared" ref="B94:N94" si="2">SUM(B1:B93)</f>
        <v>98702.709999999992</v>
      </c>
      <c r="C94" s="297">
        <f t="shared" si="2"/>
        <v>126155.17</v>
      </c>
      <c r="D94" s="297">
        <f t="shared" si="2"/>
        <v>0</v>
      </c>
      <c r="E94" s="297">
        <f t="shared" si="2"/>
        <v>0</v>
      </c>
      <c r="F94" s="297">
        <f t="shared" si="2"/>
        <v>0</v>
      </c>
      <c r="G94" s="297">
        <f t="shared" si="2"/>
        <v>0</v>
      </c>
      <c r="H94" s="297">
        <f t="shared" si="2"/>
        <v>0</v>
      </c>
      <c r="I94" s="297">
        <f t="shared" si="2"/>
        <v>0</v>
      </c>
      <c r="J94" s="297">
        <f t="shared" si="2"/>
        <v>0</v>
      </c>
      <c r="K94" s="297">
        <f t="shared" si="2"/>
        <v>0</v>
      </c>
      <c r="L94" s="297">
        <f t="shared" si="2"/>
        <v>0</v>
      </c>
      <c r="M94" s="297">
        <f t="shared" si="2"/>
        <v>0</v>
      </c>
      <c r="N94" s="242">
        <f t="shared" si="2"/>
        <v>224857.88</v>
      </c>
    </row>
    <row r="95" spans="1:14" x14ac:dyDescent="0.25">
      <c r="N95" s="96">
        <f>SUM(B94:M94)-N94</f>
        <v>0</v>
      </c>
    </row>
  </sheetData>
  <phoneticPr fontId="21" type="noConversion"/>
  <pageMargins left="0.7" right="0.7" top="0.75" bottom="0.75" header="0.3" footer="0.3"/>
  <pageSetup paperSize="9" scale="35" firstPageNumber="42949672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  <pageSetUpPr fitToPage="1"/>
  </sheetPr>
  <dimension ref="A1:N12"/>
  <sheetViews>
    <sheetView workbookViewId="0">
      <selection activeCell="C16" sqref="C16"/>
    </sheetView>
  </sheetViews>
  <sheetFormatPr defaultRowHeight="15" x14ac:dyDescent="0.25"/>
  <cols>
    <col min="1" max="1" width="29.85546875" bestFit="1" customWidth="1"/>
    <col min="2" max="2" width="9.140625" style="1"/>
    <col min="3" max="3" width="7.85546875" style="1" customWidth="1"/>
    <col min="4" max="4" width="7.7109375" style="1" customWidth="1"/>
    <col min="5" max="5" width="9.140625" style="1"/>
    <col min="6" max="6" width="9.5703125" style="1" customWidth="1"/>
    <col min="7" max="7" width="8.140625" style="1" customWidth="1"/>
    <col min="8" max="8" width="8.28515625" style="1" customWidth="1"/>
    <col min="9" max="9" width="8.140625" style="1" customWidth="1"/>
    <col min="10" max="10" width="8.28515625" style="1" customWidth="1"/>
    <col min="11" max="11" width="8.42578125" style="1" customWidth="1"/>
    <col min="12" max="14" width="9.140625" style="1"/>
  </cols>
  <sheetData>
    <row r="1" spans="1:14" x14ac:dyDescent="0.25">
      <c r="A1" s="243" t="s">
        <v>29</v>
      </c>
      <c r="B1" s="215"/>
      <c r="C1" s="215"/>
      <c r="D1" s="215"/>
      <c r="E1" s="215"/>
      <c r="F1" s="216"/>
      <c r="G1" s="216" t="str">
        <f>'ВСЕ затраты'!B1</f>
        <v>2023-2024гг.</v>
      </c>
      <c r="H1" s="215"/>
      <c r="I1" s="215"/>
      <c r="J1" s="215"/>
      <c r="K1" s="215"/>
      <c r="L1" s="215"/>
      <c r="M1" s="215"/>
      <c r="N1" s="220"/>
    </row>
    <row r="2" spans="1:14" x14ac:dyDescent="0.25">
      <c r="A2" s="244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 x14ac:dyDescent="0.25">
      <c r="A3" s="239" t="s">
        <v>108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4">
        <f t="shared" ref="N3:N8" si="0">SUM(B3:M3)</f>
        <v>0</v>
      </c>
    </row>
    <row r="4" spans="1:14" x14ac:dyDescent="0.25">
      <c r="A4" s="239" t="s">
        <v>109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4">
        <f t="shared" si="0"/>
        <v>0</v>
      </c>
    </row>
    <row r="5" spans="1:14" x14ac:dyDescent="0.25">
      <c r="A5" s="245" t="s">
        <v>110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4">
        <f t="shared" si="0"/>
        <v>0</v>
      </c>
    </row>
    <row r="6" spans="1:14" x14ac:dyDescent="0.25">
      <c r="A6" s="239" t="s">
        <v>139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4">
        <f t="shared" si="0"/>
        <v>0</v>
      </c>
    </row>
    <row r="7" spans="1:14" x14ac:dyDescent="0.25">
      <c r="A7" s="239"/>
      <c r="B7" s="228"/>
      <c r="C7" s="228"/>
      <c r="D7" s="228"/>
      <c r="E7" s="228"/>
      <c r="F7" s="228"/>
      <c r="G7" s="228"/>
      <c r="H7" s="228"/>
      <c r="I7" s="228"/>
      <c r="J7" s="228"/>
      <c r="K7" s="246"/>
      <c r="L7" s="228"/>
      <c r="M7" s="228"/>
      <c r="N7" s="224">
        <f t="shared" si="0"/>
        <v>0</v>
      </c>
    </row>
    <row r="8" spans="1:14" x14ac:dyDescent="0.25">
      <c r="A8" s="193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24">
        <f t="shared" si="0"/>
        <v>0</v>
      </c>
    </row>
    <row r="10" spans="1:14" x14ac:dyDescent="0.25">
      <c r="A10" s="247" t="s">
        <v>98</v>
      </c>
      <c r="B10" s="248">
        <f t="shared" ref="B10:N10" si="1">SUM(B3:B8)</f>
        <v>0</v>
      </c>
      <c r="C10" s="248">
        <f t="shared" si="1"/>
        <v>0</v>
      </c>
      <c r="D10" s="248">
        <f t="shared" si="1"/>
        <v>0</v>
      </c>
      <c r="E10" s="248">
        <f t="shared" si="1"/>
        <v>0</v>
      </c>
      <c r="F10" s="248">
        <f t="shared" si="1"/>
        <v>0</v>
      </c>
      <c r="G10" s="248">
        <f t="shared" si="1"/>
        <v>0</v>
      </c>
      <c r="H10" s="248">
        <f t="shared" si="1"/>
        <v>0</v>
      </c>
      <c r="I10" s="248">
        <f t="shared" si="1"/>
        <v>0</v>
      </c>
      <c r="J10" s="248">
        <f t="shared" si="1"/>
        <v>0</v>
      </c>
      <c r="K10" s="248">
        <f t="shared" si="1"/>
        <v>0</v>
      </c>
      <c r="L10" s="248">
        <f t="shared" si="1"/>
        <v>0</v>
      </c>
      <c r="M10" s="248">
        <f t="shared" si="1"/>
        <v>0</v>
      </c>
      <c r="N10" s="248">
        <f t="shared" si="1"/>
        <v>0</v>
      </c>
    </row>
    <row r="12" spans="1:14" x14ac:dyDescent="0.25">
      <c r="N12" s="249">
        <f>SUM(B10:M10)-N10</f>
        <v>0</v>
      </c>
    </row>
  </sheetData>
  <phoneticPr fontId="21" type="noConversion"/>
  <pageMargins left="0.25" right="0.25" top="0.75" bottom="0.75" header="0.3" footer="0.3"/>
  <pageSetup paperSize="9" firstPageNumber="42949672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9"/>
  <sheetViews>
    <sheetView workbookViewId="0">
      <selection activeCell="C7" sqref="C7"/>
    </sheetView>
  </sheetViews>
  <sheetFormatPr defaultRowHeight="15" x14ac:dyDescent="0.25"/>
  <cols>
    <col min="1" max="1" width="16.42578125" bestFit="1" customWidth="1"/>
    <col min="2" max="2" width="11.140625" style="1" customWidth="1"/>
    <col min="3" max="3" width="9.140625" style="1"/>
    <col min="4" max="4" width="9.7109375" style="1" customWidth="1"/>
    <col min="5" max="5" width="10.28515625" style="1" customWidth="1"/>
    <col min="6" max="6" width="9.42578125" style="1" customWidth="1"/>
    <col min="7" max="7" width="8" style="1" customWidth="1"/>
    <col min="8" max="14" width="9.140625" style="1"/>
  </cols>
  <sheetData>
    <row r="1" spans="1:14" x14ac:dyDescent="0.25">
      <c r="A1" s="243" t="s">
        <v>30</v>
      </c>
      <c r="B1" s="215"/>
      <c r="C1" s="215"/>
      <c r="D1" s="215"/>
      <c r="E1" s="215"/>
      <c r="F1" s="216"/>
      <c r="G1" s="216" t="str">
        <f>'ВСЕ затраты'!B1</f>
        <v>2023-2024гг.</v>
      </c>
      <c r="H1" s="215"/>
      <c r="I1" s="215"/>
      <c r="J1" s="215"/>
      <c r="K1" s="215"/>
      <c r="L1" s="215"/>
      <c r="M1" s="215"/>
      <c r="N1" s="220"/>
    </row>
    <row r="2" spans="1:14" x14ac:dyDescent="0.25">
      <c r="A2" s="244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 x14ac:dyDescent="0.25">
      <c r="A3" s="250"/>
      <c r="B3" s="224"/>
      <c r="C3" s="224"/>
      <c r="D3" s="224"/>
      <c r="E3" s="225"/>
      <c r="F3" s="224"/>
      <c r="G3" s="225"/>
      <c r="H3" s="224"/>
      <c r="I3" s="225"/>
      <c r="J3" s="224"/>
      <c r="K3" s="224"/>
      <c r="L3" s="224"/>
      <c r="M3" s="224"/>
      <c r="N3" s="228">
        <f>SUM(B3:M3)</f>
        <v>0</v>
      </c>
    </row>
    <row r="4" spans="1:14" x14ac:dyDescent="0.25">
      <c r="A4" s="239" t="s">
        <v>111</v>
      </c>
      <c r="B4" s="228">
        <v>1200</v>
      </c>
      <c r="C4" s="228">
        <v>1200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>
        <f>SUM(B4:M4)</f>
        <v>2400</v>
      </c>
    </row>
    <row r="5" spans="1:14" x14ac:dyDescent="0.25">
      <c r="A5" s="239" t="s">
        <v>112</v>
      </c>
      <c r="B5" s="228">
        <v>5000</v>
      </c>
      <c r="C5" s="228">
        <v>5000</v>
      </c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>
        <f>SUM(B5:M5)</f>
        <v>10000</v>
      </c>
    </row>
    <row r="6" spans="1:14" x14ac:dyDescent="0.25">
      <c r="A6" s="239" t="s">
        <v>113</v>
      </c>
      <c r="B6" s="228">
        <v>500</v>
      </c>
      <c r="C6" s="228">
        <v>500</v>
      </c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>
        <f>SUM(B6:M6)</f>
        <v>1000</v>
      </c>
    </row>
    <row r="7" spans="1:14" x14ac:dyDescent="0.25">
      <c r="A7" s="251" t="s">
        <v>98</v>
      </c>
      <c r="B7" s="248">
        <f>SUM(B3:B6)</f>
        <v>6700</v>
      </c>
      <c r="C7" s="248">
        <f>SUM(C3:C6)</f>
        <v>6700</v>
      </c>
      <c r="D7" s="248">
        <f>SUM(D3:D6)</f>
        <v>0</v>
      </c>
      <c r="E7" s="248">
        <f>SUM(E3:E6)</f>
        <v>0</v>
      </c>
      <c r="F7" s="248">
        <f t="shared" ref="F7:M7" si="0">SUM(F3:F6)</f>
        <v>0</v>
      </c>
      <c r="G7" s="248">
        <f t="shared" si="0"/>
        <v>0</v>
      </c>
      <c r="H7" s="248">
        <f t="shared" si="0"/>
        <v>0</v>
      </c>
      <c r="I7" s="248">
        <f t="shared" si="0"/>
        <v>0</v>
      </c>
      <c r="J7" s="248">
        <f t="shared" si="0"/>
        <v>0</v>
      </c>
      <c r="K7" s="248">
        <f t="shared" si="0"/>
        <v>0</v>
      </c>
      <c r="L7" s="248">
        <f t="shared" si="0"/>
        <v>0</v>
      </c>
      <c r="M7" s="248">
        <f t="shared" si="0"/>
        <v>0</v>
      </c>
      <c r="N7" s="252">
        <f>SUM(N3:N6)</f>
        <v>13400</v>
      </c>
    </row>
    <row r="9" spans="1:14" x14ac:dyDescent="0.25">
      <c r="N9" s="249">
        <f>SUM(B7:M7)-N7</f>
        <v>0</v>
      </c>
    </row>
  </sheetData>
  <phoneticPr fontId="21" type="noConversion"/>
  <pageMargins left="0.7" right="0.7" top="0.75" bottom="0.75" header="0.3" footer="0.3"/>
  <pageSetup paperSize="9" scale="94" firstPageNumber="42949672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"/>
    <pageSetUpPr fitToPage="1"/>
  </sheetPr>
  <dimension ref="A1:N11"/>
  <sheetViews>
    <sheetView workbookViewId="0">
      <selection activeCell="C4" sqref="C4"/>
    </sheetView>
  </sheetViews>
  <sheetFormatPr defaultRowHeight="15" x14ac:dyDescent="0.25"/>
  <cols>
    <col min="1" max="1" width="27.28515625" bestFit="1" customWidth="1"/>
    <col min="3" max="3" width="9.28515625" customWidth="1"/>
    <col min="4" max="4" width="9.42578125" customWidth="1"/>
    <col min="5" max="5" width="10.42578125" customWidth="1"/>
    <col min="6" max="6" width="12.7109375" bestFit="1" customWidth="1"/>
    <col min="7" max="7" width="8" customWidth="1"/>
    <col min="8" max="8" width="8.85546875" customWidth="1"/>
    <col min="12" max="12" width="10.42578125" customWidth="1"/>
  </cols>
  <sheetData>
    <row r="1" spans="1:14" x14ac:dyDescent="0.25">
      <c r="A1" s="243" t="s">
        <v>114</v>
      </c>
      <c r="B1" s="250"/>
      <c r="C1" s="250"/>
      <c r="D1" s="250"/>
      <c r="E1" s="250"/>
      <c r="F1" s="216"/>
      <c r="G1" s="216" t="str">
        <f>'ВСЕ затраты'!B1</f>
        <v>2023-2024гг.</v>
      </c>
      <c r="H1" s="250"/>
      <c r="I1" s="250"/>
      <c r="J1" s="250"/>
      <c r="K1" s="250"/>
      <c r="L1" s="250"/>
      <c r="M1" s="250"/>
      <c r="N1" s="244"/>
    </row>
    <row r="2" spans="1:14" x14ac:dyDescent="0.25">
      <c r="A2" s="244"/>
      <c r="B2" s="228" t="s">
        <v>4</v>
      </c>
      <c r="C2" s="228" t="s">
        <v>5</v>
      </c>
      <c r="D2" s="228" t="s">
        <v>6</v>
      </c>
      <c r="E2" s="229" t="s">
        <v>7</v>
      </c>
      <c r="F2" s="228" t="s">
        <v>8</v>
      </c>
      <c r="G2" s="229" t="s">
        <v>9</v>
      </c>
      <c r="H2" s="228" t="s">
        <v>14</v>
      </c>
      <c r="I2" s="229" t="s">
        <v>15</v>
      </c>
      <c r="J2" s="228" t="s">
        <v>16</v>
      </c>
      <c r="K2" s="228" t="s">
        <v>17</v>
      </c>
      <c r="L2" s="228" t="s">
        <v>18</v>
      </c>
      <c r="M2" s="228" t="s">
        <v>19</v>
      </c>
      <c r="N2" s="253" t="s">
        <v>98</v>
      </c>
    </row>
    <row r="3" spans="1:14" ht="25.5" customHeight="1" x14ac:dyDescent="0.25">
      <c r="A3" s="254" t="s">
        <v>115</v>
      </c>
      <c r="B3" s="237">
        <f>18792+19061+43221+19481.92+34303.57+191068.21-100100+5141.08+102086+46805+135507.1+66333.5</f>
        <v>581700.37999999989</v>
      </c>
      <c r="C3" s="237">
        <f>184267.27+71161.2+69800.29+10000+25413+86470+40720+10770.96+34302.57+6629.05+83917+36819</f>
        <v>660270.34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55">
        <f>SUM(B3:M3)</f>
        <v>1241970.7199999997</v>
      </c>
    </row>
    <row r="4" spans="1:14" x14ac:dyDescent="0.25">
      <c r="A4" s="254" t="s">
        <v>141</v>
      </c>
      <c r="B4" s="237">
        <v>45500</v>
      </c>
      <c r="C4" s="237">
        <v>70000</v>
      </c>
      <c r="D4" s="237"/>
      <c r="E4" s="238"/>
      <c r="F4" s="237"/>
      <c r="G4" s="238"/>
      <c r="H4" s="237"/>
      <c r="I4" s="238"/>
      <c r="J4" s="237"/>
      <c r="K4" s="237"/>
      <c r="L4" s="237"/>
      <c r="M4" s="237"/>
      <c r="N4" s="255">
        <f>SUM(B4:M4)</f>
        <v>115500</v>
      </c>
    </row>
    <row r="5" spans="1:14" x14ac:dyDescent="0.25">
      <c r="A5" s="256" t="s">
        <v>116</v>
      </c>
      <c r="B5" s="239">
        <v>30000</v>
      </c>
      <c r="C5" s="239"/>
      <c r="D5" s="239"/>
      <c r="E5" s="240"/>
      <c r="F5" s="239"/>
      <c r="G5" s="240"/>
      <c r="H5" s="239"/>
      <c r="I5" s="240"/>
      <c r="J5" s="239"/>
      <c r="K5" s="239"/>
      <c r="L5" s="239"/>
      <c r="M5" s="239"/>
      <c r="N5" s="255">
        <f>SUM(B5:M5)</f>
        <v>30000</v>
      </c>
    </row>
    <row r="6" spans="1:14" x14ac:dyDescent="0.25">
      <c r="A6" s="243" t="s">
        <v>98</v>
      </c>
      <c r="B6" s="257">
        <f t="shared" ref="B6:N6" si="0">SUM(B3:B5)</f>
        <v>657200.37999999989</v>
      </c>
      <c r="C6" s="257">
        <f t="shared" si="0"/>
        <v>730270.34</v>
      </c>
      <c r="D6" s="257">
        <f t="shared" si="0"/>
        <v>0</v>
      </c>
      <c r="E6" s="257">
        <f t="shared" si="0"/>
        <v>0</v>
      </c>
      <c r="F6" s="257">
        <f t="shared" si="0"/>
        <v>0</v>
      </c>
      <c r="G6" s="257">
        <f t="shared" si="0"/>
        <v>0</v>
      </c>
      <c r="H6" s="257">
        <f t="shared" si="0"/>
        <v>0</v>
      </c>
      <c r="I6" s="257">
        <f t="shared" si="0"/>
        <v>0</v>
      </c>
      <c r="J6" s="257">
        <f t="shared" si="0"/>
        <v>0</v>
      </c>
      <c r="K6" s="257">
        <f t="shared" si="0"/>
        <v>0</v>
      </c>
      <c r="L6" s="257">
        <f t="shared" si="0"/>
        <v>0</v>
      </c>
      <c r="M6" s="257">
        <f t="shared" si="0"/>
        <v>0</v>
      </c>
      <c r="N6" s="257">
        <f t="shared" si="0"/>
        <v>1387470.7199999997</v>
      </c>
    </row>
    <row r="8" spans="1:14" x14ac:dyDescent="0.25">
      <c r="N8" s="249">
        <f>SUM(B6:M6)-N6</f>
        <v>0</v>
      </c>
    </row>
    <row r="10" spans="1:14" s="258" customFormat="1" ht="15.75" x14ac:dyDescent="0.25">
      <c r="M10" s="228"/>
    </row>
    <row r="11" spans="1:14" ht="18.75" x14ac:dyDescent="0.3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95"/>
    </row>
  </sheetData>
  <phoneticPr fontId="21" type="noConversion"/>
  <pageMargins left="0.7" right="0.7" top="0.75" bottom="0.75" header="0.3" footer="0.3"/>
  <pageSetup paperSize="9" scale="86" firstPageNumber="42949672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N8"/>
  <sheetViews>
    <sheetView workbookViewId="0">
      <selection activeCell="F3" sqref="F3:M4"/>
    </sheetView>
  </sheetViews>
  <sheetFormatPr defaultRowHeight="15" x14ac:dyDescent="0.25"/>
  <cols>
    <col min="1" max="1" width="20.28515625" style="1" bestFit="1" customWidth="1"/>
    <col min="2" max="2" width="10.28515625" style="1" customWidth="1"/>
    <col min="3" max="3" width="10.7109375" style="1" customWidth="1"/>
    <col min="4" max="4" width="8.5703125" style="1" customWidth="1"/>
    <col min="5" max="5" width="10" style="1" customWidth="1"/>
    <col min="6" max="14" width="9.140625" style="1"/>
  </cols>
  <sheetData>
    <row r="1" spans="1:14" x14ac:dyDescent="0.25">
      <c r="A1" s="216" t="s">
        <v>33</v>
      </c>
      <c r="B1" s="215"/>
      <c r="C1" s="215"/>
      <c r="D1" s="215"/>
      <c r="E1" s="215"/>
      <c r="F1" s="216"/>
      <c r="G1" s="216" t="str">
        <f>'ВСЕ затраты'!B1</f>
        <v>2023-2024гг.</v>
      </c>
      <c r="H1" s="215"/>
      <c r="I1" s="215"/>
      <c r="J1" s="215"/>
      <c r="K1" s="215"/>
      <c r="L1" s="215"/>
      <c r="M1" s="215"/>
      <c r="N1" s="220"/>
    </row>
    <row r="2" spans="1:14" x14ac:dyDescent="0.25">
      <c r="A2" s="22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 ht="29.25" customHeight="1" x14ac:dyDescent="0.25">
      <c r="A3" s="260" t="s">
        <v>117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>
        <f>SUM(B3:M3)</f>
        <v>0</v>
      </c>
    </row>
    <row r="4" spans="1:14" x14ac:dyDescent="0.25">
      <c r="A4" s="260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>
        <f>SUM(B4:M4)</f>
        <v>0</v>
      </c>
    </row>
    <row r="5" spans="1:14" x14ac:dyDescent="0.25">
      <c r="A5" s="216" t="s">
        <v>98</v>
      </c>
      <c r="B5" s="241">
        <f>SUM(B3:B4)</f>
        <v>0</v>
      </c>
      <c r="C5" s="241">
        <f t="shared" ref="C5:M5" si="0">SUM(C3:C4)</f>
        <v>0</v>
      </c>
      <c r="D5" s="241">
        <f t="shared" si="0"/>
        <v>0</v>
      </c>
      <c r="E5" s="241">
        <f t="shared" si="0"/>
        <v>0</v>
      </c>
      <c r="F5" s="241">
        <f t="shared" si="0"/>
        <v>0</v>
      </c>
      <c r="G5" s="241">
        <f t="shared" si="0"/>
        <v>0</v>
      </c>
      <c r="H5" s="241">
        <f t="shared" si="0"/>
        <v>0</v>
      </c>
      <c r="I5" s="241">
        <f t="shared" si="0"/>
        <v>0</v>
      </c>
      <c r="J5" s="241">
        <f t="shared" si="0"/>
        <v>0</v>
      </c>
      <c r="K5" s="241">
        <f t="shared" si="0"/>
        <v>0</v>
      </c>
      <c r="L5" s="241">
        <f t="shared" si="0"/>
        <v>0</v>
      </c>
      <c r="M5" s="241">
        <f t="shared" si="0"/>
        <v>0</v>
      </c>
      <c r="N5" s="241">
        <f>SUM(N3:N4)</f>
        <v>0</v>
      </c>
    </row>
    <row r="6" spans="1:14" x14ac:dyDescent="0.25">
      <c r="H6" s="261"/>
    </row>
    <row r="7" spans="1:14" x14ac:dyDescent="0.25">
      <c r="N7" s="249">
        <f>SUM(B5:M5)-N5</f>
        <v>0</v>
      </c>
    </row>
    <row r="8" spans="1:14" x14ac:dyDescent="0.25">
      <c r="A8" s="262"/>
    </row>
  </sheetData>
  <phoneticPr fontId="21" type="noConversion"/>
  <pageMargins left="0.7" right="0.7" top="0.75" bottom="0.75" header="0.3" footer="0.3"/>
  <pageSetup paperSize="9" scale="92" firstPageNumber="429496729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  <pageSetUpPr fitToPage="1"/>
  </sheetPr>
  <dimension ref="A1:N14"/>
  <sheetViews>
    <sheetView workbookViewId="0">
      <selection activeCell="C4" sqref="C4"/>
    </sheetView>
  </sheetViews>
  <sheetFormatPr defaultRowHeight="15" x14ac:dyDescent="0.25"/>
  <cols>
    <col min="1" max="1" width="28.28515625" bestFit="1" customWidth="1"/>
    <col min="2" max="2" width="10.28515625" bestFit="1" customWidth="1"/>
    <col min="3" max="4" width="8" customWidth="1"/>
    <col min="5" max="5" width="9" customWidth="1"/>
    <col min="6" max="6" width="9.28515625" customWidth="1"/>
  </cols>
  <sheetData>
    <row r="1" spans="1:14" x14ac:dyDescent="0.25">
      <c r="A1" s="243" t="s">
        <v>34</v>
      </c>
      <c r="B1" s="250"/>
      <c r="C1" s="250"/>
      <c r="D1" s="250"/>
      <c r="E1" s="250"/>
      <c r="F1" s="216"/>
      <c r="G1" s="216" t="str">
        <f>'ВСЕ затраты'!B1</f>
        <v>2023-2024гг.</v>
      </c>
      <c r="H1" s="250"/>
      <c r="I1" s="250"/>
      <c r="J1" s="250"/>
      <c r="K1" s="250"/>
      <c r="L1" s="250"/>
      <c r="M1" s="250"/>
      <c r="N1" s="244"/>
    </row>
    <row r="2" spans="1:14" x14ac:dyDescent="0.25">
      <c r="A2" s="244"/>
      <c r="B2" s="219" t="s">
        <v>4</v>
      </c>
      <c r="C2" s="219" t="s">
        <v>5</v>
      </c>
      <c r="D2" s="228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 x14ac:dyDescent="0.25">
      <c r="A3" s="239" t="s">
        <v>118</v>
      </c>
      <c r="B3" s="276">
        <f>537373.74-231000+1000+3448.58</f>
        <v>310822.32</v>
      </c>
      <c r="C3" s="239">
        <f>1179.99+176996.04</f>
        <v>178176.03</v>
      </c>
      <c r="E3" s="239"/>
      <c r="F3" s="239"/>
      <c r="G3" s="239"/>
      <c r="H3" s="239"/>
      <c r="I3" s="239"/>
      <c r="J3" s="239"/>
      <c r="K3" s="239"/>
      <c r="L3" s="239"/>
      <c r="M3" s="239"/>
      <c r="N3" s="237">
        <f>SUM(B3:M3)</f>
        <v>488998.35</v>
      </c>
    </row>
    <row r="4" spans="1:14" x14ac:dyDescent="0.25">
      <c r="A4" s="239"/>
      <c r="B4" s="239" t="s">
        <v>64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7">
        <f>SUM(B4:M4)</f>
        <v>0</v>
      </c>
    </row>
    <row r="5" spans="1:14" x14ac:dyDescent="0.25">
      <c r="A5" s="239" t="s">
        <v>119</v>
      </c>
      <c r="B5" s="239">
        <v>2.38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7">
        <f>SUM(B5:M5)</f>
        <v>2.38</v>
      </c>
    </row>
    <row r="6" spans="1:14" x14ac:dyDescent="0.25">
      <c r="A6" s="243" t="s">
        <v>98</v>
      </c>
      <c r="B6" s="257">
        <f t="shared" ref="B6:N6" si="0">SUM(B3:B5)</f>
        <v>310824.7</v>
      </c>
      <c r="C6" s="257">
        <f t="shared" si="0"/>
        <v>178176.03</v>
      </c>
      <c r="D6" s="257">
        <f>SUM(D3:D5)</f>
        <v>0</v>
      </c>
      <c r="E6" s="257">
        <f t="shared" si="0"/>
        <v>0</v>
      </c>
      <c r="F6" s="257">
        <f t="shared" si="0"/>
        <v>0</v>
      </c>
      <c r="G6" s="257">
        <f t="shared" si="0"/>
        <v>0</v>
      </c>
      <c r="H6" s="257">
        <f t="shared" si="0"/>
        <v>0</v>
      </c>
      <c r="I6" s="257">
        <f t="shared" si="0"/>
        <v>0</v>
      </c>
      <c r="J6" s="257">
        <f t="shared" si="0"/>
        <v>0</v>
      </c>
      <c r="K6" s="257">
        <f t="shared" si="0"/>
        <v>0</v>
      </c>
      <c r="L6" s="257">
        <f t="shared" si="0"/>
        <v>0</v>
      </c>
      <c r="M6" s="257">
        <f t="shared" si="0"/>
        <v>0</v>
      </c>
      <c r="N6" s="257">
        <f t="shared" si="0"/>
        <v>489000.73</v>
      </c>
    </row>
    <row r="8" spans="1:14" x14ac:dyDescent="0.25">
      <c r="N8" s="249">
        <f>SUM(B6:M6)-N6</f>
        <v>0</v>
      </c>
    </row>
    <row r="9" spans="1:14" ht="15.75" hidden="1" x14ac:dyDescent="0.25">
      <c r="A9" s="360"/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</row>
    <row r="10" spans="1:14" ht="15.75" hidden="1" x14ac:dyDescent="0.25">
      <c r="A10" s="360"/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</row>
    <row r="11" spans="1:14" hidden="1" x14ac:dyDescent="0.25"/>
    <row r="12" spans="1:14" ht="15.75" hidden="1" x14ac:dyDescent="0.25">
      <c r="A12" s="196"/>
      <c r="B12" s="258"/>
      <c r="C12" s="258"/>
      <c r="D12" s="258"/>
      <c r="E12" s="258"/>
      <c r="F12" s="258"/>
      <c r="G12" s="258"/>
      <c r="H12" s="258"/>
      <c r="I12" s="258"/>
      <c r="J12" s="258"/>
      <c r="K12" s="258"/>
    </row>
    <row r="13" spans="1:14" ht="15.75" hidden="1" x14ac:dyDescent="0.25">
      <c r="A13" s="358"/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9"/>
    </row>
    <row r="14" spans="1:14" hidden="1" x14ac:dyDescent="0.25"/>
  </sheetData>
  <mergeCells count="3">
    <mergeCell ref="A13:L13"/>
    <mergeCell ref="A9:L9"/>
    <mergeCell ref="A10:L10"/>
  </mergeCells>
  <phoneticPr fontId="21" type="noConversion"/>
  <pageMargins left="0.25" right="0.25" top="0.75" bottom="0.75" header="0.3" footer="0.3"/>
  <pageSetup paperSize="9" scale="97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ВСЕ затраты за 6 мес.</vt:lpstr>
      <vt:lpstr>ВСЕ затраты</vt:lpstr>
      <vt:lpstr>ВСЕ затраты в 2016-2017 гг (2)</vt:lpstr>
      <vt:lpstr>общехоз расходы</vt:lpstr>
      <vt:lpstr>программ обеспечение</vt:lpstr>
      <vt:lpstr>услуги связи</vt:lpstr>
      <vt:lpstr>з пл</vt:lpstr>
      <vt:lpstr>премиальный фонд</vt:lpstr>
      <vt:lpstr>налог с ФОТ</vt:lpstr>
      <vt:lpstr>инвентарь</vt:lpstr>
      <vt:lpstr>мусор</vt:lpstr>
      <vt:lpstr>газ</vt:lpstr>
      <vt:lpstr>вода</vt:lpstr>
      <vt:lpstr>канализация</vt:lpstr>
      <vt:lpstr>электроснабжение</vt:lpstr>
      <vt:lpstr>дор и терр</vt:lpstr>
      <vt:lpstr>благоустройство</vt:lpstr>
      <vt:lpstr>резервный фонд</vt:lpstr>
      <vt:lpstr>'ВСЕ затраты'!Область_печати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Marina</cp:lastModifiedBy>
  <cp:revision>1</cp:revision>
  <cp:lastPrinted>2023-08-03T13:53:05Z</cp:lastPrinted>
  <dcterms:created xsi:type="dcterms:W3CDTF">2015-11-16T11:04:42Z</dcterms:created>
  <dcterms:modified xsi:type="dcterms:W3CDTF">2023-08-10T17:47:42Z</dcterms:modified>
</cp:coreProperties>
</file>