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gla\Desktop\"/>
    </mc:Choice>
  </mc:AlternateContent>
  <bookViews>
    <workbookView xWindow="-120" yWindow="-120" windowWidth="25440" windowHeight="15390" tabRatio="1000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инвентарь" sheetId="10" r:id="rId10"/>
    <sheet name="мусор" sheetId="12" r:id="rId11"/>
    <sheet name="газ" sheetId="13" r:id="rId12"/>
    <sheet name="вода" sheetId="14" r:id="rId13"/>
    <sheet name="канализация" sheetId="15" r:id="rId14"/>
    <sheet name="электроснабжение" sheetId="16" r:id="rId15"/>
    <sheet name="сод дор и терр" sheetId="17" r:id="rId16"/>
    <sheet name="благоустройство" sheetId="19" r:id="rId17"/>
    <sheet name="резервный фонд" sheetId="20" r:id="rId18"/>
  </sheets>
  <definedNames>
    <definedName name="_xlnm.Print_Area" localSheetId="1">'ВСЕ затраты'!$A$1:$R$49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2" l="1"/>
  <c r="F57" i="2"/>
  <c r="E67" i="2"/>
  <c r="F67" i="2"/>
  <c r="F6" i="2" l="1"/>
  <c r="F11" i="2"/>
  <c r="P11" i="2" s="1"/>
  <c r="E6" i="2"/>
  <c r="F10" i="2"/>
  <c r="E10" i="2"/>
  <c r="D10" i="2"/>
  <c r="B10" i="19"/>
  <c r="B9" i="19"/>
  <c r="P10" i="2" l="1"/>
  <c r="F9" i="2"/>
  <c r="F12" i="2" s="1"/>
  <c r="F59" i="2" s="1"/>
  <c r="F61" i="2" s="1"/>
  <c r="D6" i="16"/>
  <c r="D21" i="4"/>
  <c r="N5" i="14"/>
  <c r="D11" i="4"/>
  <c r="D3" i="7"/>
  <c r="N7" i="6"/>
  <c r="N8" i="6" s="1"/>
  <c r="F37" i="2"/>
  <c r="D3" i="9"/>
  <c r="D12" i="4"/>
  <c r="F13" i="2" l="1"/>
  <c r="D9" i="4"/>
  <c r="D8" i="16"/>
  <c r="D48" i="16" s="1"/>
  <c r="D32" i="4"/>
  <c r="D29" i="19"/>
  <c r="D3" i="15" l="1"/>
  <c r="C8" i="6"/>
  <c r="D8" i="6"/>
  <c r="E8" i="6"/>
  <c r="F8" i="6"/>
  <c r="G8" i="6"/>
  <c r="H8" i="6"/>
  <c r="I8" i="6"/>
  <c r="J8" i="6"/>
  <c r="K8" i="6"/>
  <c r="L8" i="6"/>
  <c r="M8" i="6"/>
  <c r="B8" i="6"/>
  <c r="N6" i="20" l="1"/>
  <c r="N5" i="20"/>
  <c r="C9" i="4"/>
  <c r="C6" i="17"/>
  <c r="C5" i="4" l="1"/>
  <c r="C3" i="9"/>
  <c r="C3" i="7"/>
  <c r="C3" i="14"/>
  <c r="C22" i="4" l="1"/>
  <c r="E40" i="2"/>
  <c r="E9" i="2" l="1"/>
  <c r="E12" i="2" s="1"/>
  <c r="E13" i="2" l="1"/>
  <c r="E59" i="2"/>
  <c r="E61" i="2" s="1"/>
  <c r="N14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B9" i="4" l="1"/>
  <c r="B16" i="4"/>
  <c r="N16" i="4" s="1"/>
  <c r="B5" i="4" l="1"/>
  <c r="B3" i="7"/>
  <c r="B3" i="9"/>
  <c r="B15" i="4"/>
  <c r="N15" i="4" s="1"/>
  <c r="N25" i="19"/>
  <c r="N26" i="19"/>
  <c r="N27" i="19"/>
  <c r="N28" i="19"/>
  <c r="N29" i="19"/>
  <c r="N30" i="19"/>
  <c r="D31" i="2"/>
  <c r="D9" i="2"/>
  <c r="D12" i="2" s="1"/>
  <c r="D59" i="2" l="1"/>
  <c r="D61" i="2" s="1"/>
  <c r="D13" i="2"/>
  <c r="Q38" i="2"/>
  <c r="Q45" i="2"/>
  <c r="P45" i="2"/>
  <c r="R45" i="2" s="1"/>
  <c r="B37" i="2"/>
  <c r="Q37" i="2" s="1"/>
  <c r="Q44" i="2"/>
  <c r="P44" i="2"/>
  <c r="R44" i="2" s="1"/>
  <c r="Q40" i="2"/>
  <c r="P33" i="2"/>
  <c r="B33" i="2"/>
  <c r="Q33" i="2" s="1"/>
  <c r="N24" i="16"/>
  <c r="N25" i="16"/>
  <c r="N26" i="16"/>
  <c r="N27" i="16"/>
  <c r="N28" i="16"/>
  <c r="N29" i="16"/>
  <c r="N4" i="7"/>
  <c r="N26" i="20"/>
  <c r="F66" i="20"/>
  <c r="H35" i="2" s="1"/>
  <c r="B66" i="20"/>
  <c r="D35" i="2" s="1"/>
  <c r="C66" i="20"/>
  <c r="E35" i="2" s="1"/>
  <c r="D66" i="20"/>
  <c r="K31" i="1" s="1"/>
  <c r="E66" i="20"/>
  <c r="G35" i="2" s="1"/>
  <c r="G66" i="20"/>
  <c r="I35" i="2" s="1"/>
  <c r="H66" i="20"/>
  <c r="J35" i="2" s="1"/>
  <c r="I66" i="20"/>
  <c r="K35" i="2" s="1"/>
  <c r="J66" i="20"/>
  <c r="L35" i="2" s="1"/>
  <c r="K66" i="20"/>
  <c r="M35" i="2" s="1"/>
  <c r="L66" i="20"/>
  <c r="N35" i="2" s="1"/>
  <c r="M66" i="20"/>
  <c r="O35" i="2" s="1"/>
  <c r="B38" i="17"/>
  <c r="D28" i="2" s="1"/>
  <c r="C38" i="17"/>
  <c r="E28" i="2" s="1"/>
  <c r="D38" i="17"/>
  <c r="F28" i="2" s="1"/>
  <c r="E38" i="17"/>
  <c r="G28" i="2" s="1"/>
  <c r="F38" i="17"/>
  <c r="H28" i="2" s="1"/>
  <c r="G38" i="17"/>
  <c r="I28" i="2" s="1"/>
  <c r="H38" i="17"/>
  <c r="J28" i="2" s="1"/>
  <c r="I38" i="17"/>
  <c r="K28" i="2" s="1"/>
  <c r="J38" i="17"/>
  <c r="L28" i="2" s="1"/>
  <c r="K38" i="17"/>
  <c r="M28" i="2" s="1"/>
  <c r="L38" i="17"/>
  <c r="N28" i="2" s="1"/>
  <c r="M38" i="17"/>
  <c r="O28" i="2" s="1"/>
  <c r="G1" i="4"/>
  <c r="G38" i="4" s="1"/>
  <c r="I15" i="2" s="1"/>
  <c r="P32" i="2"/>
  <c r="P34" i="2"/>
  <c r="Q39" i="2"/>
  <c r="P39" i="2"/>
  <c r="R39" i="2" s="1"/>
  <c r="M6" i="7"/>
  <c r="O18" i="2" s="1"/>
  <c r="N32" i="15"/>
  <c r="N33" i="15"/>
  <c r="N34" i="15"/>
  <c r="N35" i="15"/>
  <c r="O12" i="2"/>
  <c r="N28" i="20"/>
  <c r="N26" i="15"/>
  <c r="N19" i="20"/>
  <c r="N18" i="20"/>
  <c r="N12" i="2"/>
  <c r="N31" i="15"/>
  <c r="N36" i="15"/>
  <c r="N10" i="15"/>
  <c r="N11" i="15"/>
  <c r="N5" i="9"/>
  <c r="K38" i="4"/>
  <c r="M15" i="2" s="1"/>
  <c r="K48" i="16"/>
  <c r="M27" i="2" s="1"/>
  <c r="N12" i="15"/>
  <c r="P31" i="2"/>
  <c r="P9" i="2"/>
  <c r="L17" i="2"/>
  <c r="N5" i="17"/>
  <c r="I48" i="16"/>
  <c r="K27" i="2" s="1"/>
  <c r="N22" i="15"/>
  <c r="H38" i="4"/>
  <c r="J15" i="2" s="1"/>
  <c r="P8" i="2"/>
  <c r="N9" i="15"/>
  <c r="N7" i="15"/>
  <c r="H6" i="7"/>
  <c r="J18" i="2" s="1"/>
  <c r="N7" i="20"/>
  <c r="Q19" i="2"/>
  <c r="N21" i="15"/>
  <c r="N23" i="15"/>
  <c r="N24" i="15"/>
  <c r="N25" i="15"/>
  <c r="N27" i="15"/>
  <c r="N28" i="15"/>
  <c r="E48" i="16"/>
  <c r="G27" i="2" s="1"/>
  <c r="N3" i="6"/>
  <c r="D17" i="2"/>
  <c r="F17" i="2"/>
  <c r="H17" i="2"/>
  <c r="I17" i="2"/>
  <c r="J17" i="2"/>
  <c r="K17" i="2"/>
  <c r="M17" i="2"/>
  <c r="N17" i="2"/>
  <c r="O17" i="2"/>
  <c r="G17" i="2"/>
  <c r="F27" i="2"/>
  <c r="D38" i="15"/>
  <c r="F26" i="2" s="1"/>
  <c r="N6" i="17"/>
  <c r="N7" i="17"/>
  <c r="N8" i="17"/>
  <c r="N7" i="4"/>
  <c r="E17" i="2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7" i="20"/>
  <c r="N25" i="20"/>
  <c r="N24" i="20"/>
  <c r="N23" i="20"/>
  <c r="N22" i="20"/>
  <c r="N21" i="20"/>
  <c r="N20" i="20"/>
  <c r="N17" i="20"/>
  <c r="N16" i="20"/>
  <c r="N15" i="20"/>
  <c r="N14" i="20"/>
  <c r="N13" i="20"/>
  <c r="N11" i="20"/>
  <c r="N10" i="20"/>
  <c r="N9" i="20"/>
  <c r="N8" i="20"/>
  <c r="N4" i="20"/>
  <c r="N3" i="20"/>
  <c r="G1" i="20"/>
  <c r="M34" i="19"/>
  <c r="O30" i="2" s="1"/>
  <c r="B34" i="19"/>
  <c r="D30" i="2" s="1"/>
  <c r="D34" i="19"/>
  <c r="F30" i="2" s="1"/>
  <c r="E34" i="19"/>
  <c r="F34" i="19"/>
  <c r="H30" i="2" s="1"/>
  <c r="G34" i="19"/>
  <c r="I30" i="2" s="1"/>
  <c r="H34" i="19"/>
  <c r="J30" i="2" s="1"/>
  <c r="I34" i="19"/>
  <c r="K30" i="2" s="1"/>
  <c r="J34" i="19"/>
  <c r="L30" i="2" s="1"/>
  <c r="K34" i="19"/>
  <c r="M30" i="2" s="1"/>
  <c r="L34" i="19"/>
  <c r="N30" i="2" s="1"/>
  <c r="N33" i="19"/>
  <c r="N32" i="19"/>
  <c r="N31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G1" i="19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4" i="17"/>
  <c r="G1" i="17"/>
  <c r="M48" i="16"/>
  <c r="O27" i="2" s="1"/>
  <c r="L48" i="16"/>
  <c r="N27" i="2" s="1"/>
  <c r="J48" i="16"/>
  <c r="L27" i="2" s="1"/>
  <c r="G48" i="16"/>
  <c r="I27" i="2" s="1"/>
  <c r="F48" i="16"/>
  <c r="H27" i="2" s="1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B48" i="16"/>
  <c r="N8" i="16"/>
  <c r="N7" i="16"/>
  <c r="N6" i="16"/>
  <c r="N5" i="16"/>
  <c r="N4" i="16"/>
  <c r="G1" i="16"/>
  <c r="M38" i="15"/>
  <c r="O26" i="2" s="1"/>
  <c r="L38" i="15"/>
  <c r="N26" i="2" s="1"/>
  <c r="K38" i="15"/>
  <c r="M26" i="2" s="1"/>
  <c r="J38" i="15"/>
  <c r="L26" i="2" s="1"/>
  <c r="I38" i="15"/>
  <c r="K26" i="2" s="1"/>
  <c r="H38" i="15"/>
  <c r="J26" i="2" s="1"/>
  <c r="G38" i="15"/>
  <c r="I26" i="2" s="1"/>
  <c r="F38" i="15"/>
  <c r="H26" i="2" s="1"/>
  <c r="E38" i="15"/>
  <c r="G26" i="2" s="1"/>
  <c r="C38" i="15"/>
  <c r="E26" i="2" s="1"/>
  <c r="B38" i="15"/>
  <c r="D26" i="2" s="1"/>
  <c r="N37" i="15"/>
  <c r="N30" i="15"/>
  <c r="N29" i="15"/>
  <c r="N20" i="15"/>
  <c r="N19" i="15"/>
  <c r="N18" i="15"/>
  <c r="N17" i="15"/>
  <c r="N16" i="15"/>
  <c r="N15" i="15"/>
  <c r="N14" i="15"/>
  <c r="N13" i="15"/>
  <c r="N8" i="15"/>
  <c r="N6" i="15"/>
  <c r="N5" i="15"/>
  <c r="N3" i="15"/>
  <c r="G1" i="15"/>
  <c r="M30" i="14"/>
  <c r="O25" i="2" s="1"/>
  <c r="L30" i="14"/>
  <c r="N25" i="2" s="1"/>
  <c r="K30" i="14"/>
  <c r="M25" i="2" s="1"/>
  <c r="J30" i="14"/>
  <c r="L25" i="2" s="1"/>
  <c r="I30" i="14"/>
  <c r="K25" i="2" s="1"/>
  <c r="H30" i="14"/>
  <c r="J25" i="2" s="1"/>
  <c r="G30" i="14"/>
  <c r="I25" i="2" s="1"/>
  <c r="F30" i="14"/>
  <c r="H25" i="2" s="1"/>
  <c r="E30" i="14"/>
  <c r="G25" i="2" s="1"/>
  <c r="D30" i="14"/>
  <c r="F25" i="2" s="1"/>
  <c r="C30" i="14"/>
  <c r="E25" i="2" s="1"/>
  <c r="B30" i="14"/>
  <c r="D25" i="2" s="1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4" i="14"/>
  <c r="N3" i="14"/>
  <c r="G1" i="14"/>
  <c r="M6" i="13"/>
  <c r="O24" i="2" s="1"/>
  <c r="L6" i="13"/>
  <c r="N24" i="2" s="1"/>
  <c r="K6" i="13"/>
  <c r="M24" i="2" s="1"/>
  <c r="J6" i="13"/>
  <c r="L24" i="2" s="1"/>
  <c r="I6" i="13"/>
  <c r="K24" i="2" s="1"/>
  <c r="H6" i="13"/>
  <c r="J24" i="2" s="1"/>
  <c r="G6" i="13"/>
  <c r="I24" i="2" s="1"/>
  <c r="F6" i="13"/>
  <c r="H24" i="2" s="1"/>
  <c r="E6" i="13"/>
  <c r="G24" i="2" s="1"/>
  <c r="D6" i="13"/>
  <c r="F24" i="2" s="1"/>
  <c r="C6" i="13"/>
  <c r="E24" i="2" s="1"/>
  <c r="B6" i="13"/>
  <c r="D24" i="2" s="1"/>
  <c r="N5" i="13"/>
  <c r="N4" i="13"/>
  <c r="N3" i="13"/>
  <c r="G1" i="13"/>
  <c r="M10" i="12"/>
  <c r="O22" i="2" s="1"/>
  <c r="L10" i="12"/>
  <c r="N22" i="2" s="1"/>
  <c r="K10" i="12"/>
  <c r="M22" i="2" s="1"/>
  <c r="J10" i="12"/>
  <c r="L22" i="2" s="1"/>
  <c r="I10" i="12"/>
  <c r="K22" i="2" s="1"/>
  <c r="H10" i="12"/>
  <c r="J22" i="2" s="1"/>
  <c r="G10" i="12"/>
  <c r="I22" i="2" s="1"/>
  <c r="F10" i="12"/>
  <c r="H22" i="2" s="1"/>
  <c r="E10" i="12"/>
  <c r="G22" i="2" s="1"/>
  <c r="D10" i="12"/>
  <c r="F22" i="2" s="1"/>
  <c r="K20" i="1"/>
  <c r="C10" i="12"/>
  <c r="E22" i="2" s="1"/>
  <c r="B10" i="12"/>
  <c r="D22" i="2" s="1"/>
  <c r="N9" i="12"/>
  <c r="N8" i="12"/>
  <c r="N7" i="12"/>
  <c r="N6" i="12"/>
  <c r="N5" i="12"/>
  <c r="N4" i="12"/>
  <c r="N3" i="12"/>
  <c r="G1" i="12"/>
  <c r="N21" i="1"/>
  <c r="M27" i="10"/>
  <c r="O21" i="2" s="1"/>
  <c r="L27" i="10"/>
  <c r="N21" i="2" s="1"/>
  <c r="K27" i="10"/>
  <c r="M21" i="2" s="1"/>
  <c r="J27" i="10"/>
  <c r="L21" i="2" s="1"/>
  <c r="I27" i="10"/>
  <c r="K21" i="2" s="1"/>
  <c r="H27" i="10"/>
  <c r="J21" i="2" s="1"/>
  <c r="G27" i="10"/>
  <c r="I21" i="2" s="1"/>
  <c r="F27" i="10"/>
  <c r="H21" i="2" s="1"/>
  <c r="E27" i="10"/>
  <c r="G21" i="2" s="1"/>
  <c r="D27" i="10"/>
  <c r="F21" i="2" s="1"/>
  <c r="C27" i="10"/>
  <c r="E21" i="2" s="1"/>
  <c r="B27" i="10"/>
  <c r="D21" i="2" s="1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G1" i="10"/>
  <c r="M6" i="9"/>
  <c r="O20" i="2" s="1"/>
  <c r="K6" i="9"/>
  <c r="M20" i="2" s="1"/>
  <c r="J6" i="9"/>
  <c r="L20" i="2" s="1"/>
  <c r="I6" i="9"/>
  <c r="K20" i="2" s="1"/>
  <c r="H6" i="9"/>
  <c r="J20" i="2" s="1"/>
  <c r="G6" i="9"/>
  <c r="I20" i="2" s="1"/>
  <c r="F6" i="9"/>
  <c r="H20" i="2" s="1"/>
  <c r="E6" i="9"/>
  <c r="G20" i="2" s="1"/>
  <c r="D6" i="9"/>
  <c r="F20" i="2" s="1"/>
  <c r="C6" i="9"/>
  <c r="E20" i="2" s="1"/>
  <c r="N4" i="9"/>
  <c r="N3" i="9"/>
  <c r="G1" i="9"/>
  <c r="M5" i="8"/>
  <c r="O19" i="2" s="1"/>
  <c r="L5" i="8"/>
  <c r="N19" i="2" s="1"/>
  <c r="K5" i="8"/>
  <c r="M19" i="2" s="1"/>
  <c r="J5" i="8"/>
  <c r="L19" i="2" s="1"/>
  <c r="I5" i="8"/>
  <c r="K19" i="2" s="1"/>
  <c r="H5" i="8"/>
  <c r="J19" i="2" s="1"/>
  <c r="G5" i="8"/>
  <c r="I19" i="2" s="1"/>
  <c r="F5" i="8"/>
  <c r="H19" i="2" s="1"/>
  <c r="E5" i="8"/>
  <c r="G19" i="2" s="1"/>
  <c r="D5" i="8"/>
  <c r="F19" i="2" s="1"/>
  <c r="C5" i="8"/>
  <c r="E19" i="2" s="1"/>
  <c r="B5" i="8"/>
  <c r="D19" i="2" s="1"/>
  <c r="N4" i="8"/>
  <c r="N5" i="8" s="1"/>
  <c r="N3" i="8"/>
  <c r="G1" i="8"/>
  <c r="L6" i="7"/>
  <c r="N18" i="2" s="1"/>
  <c r="K6" i="7"/>
  <c r="M18" i="2" s="1"/>
  <c r="J6" i="7"/>
  <c r="L18" i="2" s="1"/>
  <c r="I6" i="7"/>
  <c r="K18" i="2" s="1"/>
  <c r="G6" i="7"/>
  <c r="I18" i="2" s="1"/>
  <c r="F6" i="7"/>
  <c r="H18" i="2" s="1"/>
  <c r="E6" i="7"/>
  <c r="G18" i="2" s="1"/>
  <c r="D6" i="7"/>
  <c r="F18" i="2" s="1"/>
  <c r="C6" i="7"/>
  <c r="E18" i="2" s="1"/>
  <c r="B6" i="7"/>
  <c r="D18" i="2" s="1"/>
  <c r="G1" i="7"/>
  <c r="N6" i="6"/>
  <c r="N5" i="6"/>
  <c r="N4" i="6"/>
  <c r="G1" i="6"/>
  <c r="M10" i="5"/>
  <c r="O16" i="2" s="1"/>
  <c r="L10" i="5"/>
  <c r="N16" i="2" s="1"/>
  <c r="K10" i="5"/>
  <c r="M16" i="2" s="1"/>
  <c r="J10" i="5"/>
  <c r="L16" i="2" s="1"/>
  <c r="I10" i="5"/>
  <c r="K16" i="2" s="1"/>
  <c r="H10" i="5"/>
  <c r="J16" i="2" s="1"/>
  <c r="G10" i="5"/>
  <c r="I16" i="2" s="1"/>
  <c r="F10" i="5"/>
  <c r="H16" i="2" s="1"/>
  <c r="E10" i="5"/>
  <c r="G16" i="2" s="1"/>
  <c r="D10" i="5"/>
  <c r="F16" i="2" s="1"/>
  <c r="C10" i="5"/>
  <c r="E16" i="2" s="1"/>
  <c r="B10" i="5"/>
  <c r="D16" i="2" s="1"/>
  <c r="N8" i="5"/>
  <c r="N7" i="5"/>
  <c r="N6" i="5"/>
  <c r="N5" i="5"/>
  <c r="N4" i="5"/>
  <c r="N10" i="5" s="1"/>
  <c r="N12" i="5" s="1"/>
  <c r="N3" i="5"/>
  <c r="G1" i="5"/>
  <c r="M38" i="4"/>
  <c r="O15" i="2" s="1"/>
  <c r="L38" i="4"/>
  <c r="N15" i="2" s="1"/>
  <c r="J38" i="4"/>
  <c r="L15" i="2" s="1"/>
  <c r="I38" i="4"/>
  <c r="K15" i="2" s="1"/>
  <c r="F38" i="4"/>
  <c r="H15" i="2" s="1"/>
  <c r="E38" i="4"/>
  <c r="G15" i="2" s="1"/>
  <c r="C38" i="4"/>
  <c r="E15" i="2" s="1"/>
  <c r="N13" i="4"/>
  <c r="N11" i="4"/>
  <c r="N10" i="4"/>
  <c r="N9" i="4"/>
  <c r="N8" i="4"/>
  <c r="N6" i="4"/>
  <c r="N5" i="4"/>
  <c r="N4" i="4"/>
  <c r="S33" i="3"/>
  <c r="R33" i="3"/>
  <c r="Q33" i="3"/>
  <c r="P33" i="3"/>
  <c r="O33" i="3"/>
  <c r="N33" i="3"/>
  <c r="M33" i="3"/>
  <c r="L33" i="3"/>
  <c r="K33" i="3"/>
  <c r="J33" i="3"/>
  <c r="I33" i="3"/>
  <c r="H33" i="3"/>
  <c r="T32" i="3"/>
  <c r="G32" i="3"/>
  <c r="T31" i="3"/>
  <c r="G31" i="3"/>
  <c r="U31" i="3"/>
  <c r="T30" i="3"/>
  <c r="G30" i="3"/>
  <c r="T29" i="3"/>
  <c r="G29" i="3"/>
  <c r="U29" i="3" s="1"/>
  <c r="T28" i="3"/>
  <c r="G28" i="3"/>
  <c r="U28" i="3" s="1"/>
  <c r="T27" i="3"/>
  <c r="G27" i="3"/>
  <c r="T26" i="3"/>
  <c r="G26" i="3"/>
  <c r="T25" i="3"/>
  <c r="G25" i="3"/>
  <c r="T24" i="3"/>
  <c r="F24" i="3"/>
  <c r="T23" i="3"/>
  <c r="G23" i="3"/>
  <c r="U23" i="3" s="1"/>
  <c r="T22" i="3"/>
  <c r="G22" i="3"/>
  <c r="T21" i="3"/>
  <c r="G21" i="3"/>
  <c r="U21" i="3"/>
  <c r="T20" i="3"/>
  <c r="G20" i="3"/>
  <c r="U20" i="3" s="1"/>
  <c r="T19" i="3"/>
  <c r="G19" i="3"/>
  <c r="T18" i="3"/>
  <c r="G18" i="3"/>
  <c r="U18" i="3"/>
  <c r="T17" i="3"/>
  <c r="U17" i="3" s="1"/>
  <c r="G17" i="3"/>
  <c r="T16" i="3"/>
  <c r="G16" i="3"/>
  <c r="U16" i="3" s="1"/>
  <c r="T15" i="3"/>
  <c r="G15" i="3"/>
  <c r="U15" i="3" s="1"/>
  <c r="T14" i="3"/>
  <c r="G14" i="3"/>
  <c r="U14" i="3" s="1"/>
  <c r="T13" i="3"/>
  <c r="G13" i="3"/>
  <c r="T12" i="3"/>
  <c r="T33" i="3" s="1"/>
  <c r="G12" i="3"/>
  <c r="F10" i="3"/>
  <c r="H9" i="3"/>
  <c r="T9" i="3" s="1"/>
  <c r="T8" i="3"/>
  <c r="T7" i="3"/>
  <c r="T6" i="3"/>
  <c r="T5" i="3"/>
  <c r="T4" i="3"/>
  <c r="G4" i="3"/>
  <c r="G10" i="3" s="1"/>
  <c r="Q47" i="2"/>
  <c r="P47" i="2"/>
  <c r="R47" i="2" s="1"/>
  <c r="Q46" i="2"/>
  <c r="P46" i="2"/>
  <c r="R46" i="2" s="1"/>
  <c r="Q43" i="2"/>
  <c r="P38" i="2"/>
  <c r="Q42" i="2"/>
  <c r="P42" i="2"/>
  <c r="R42" i="2" s="1"/>
  <c r="Q41" i="2"/>
  <c r="C35" i="2"/>
  <c r="Q35" i="2" s="1"/>
  <c r="Q34" i="2"/>
  <c r="Q32" i="2"/>
  <c r="Q31" i="2"/>
  <c r="C30" i="2"/>
  <c r="Q30" i="2" s="1"/>
  <c r="Q29" i="2"/>
  <c r="C28" i="2"/>
  <c r="Q28" i="2" s="1"/>
  <c r="C27" i="2"/>
  <c r="Q27" i="2" s="1"/>
  <c r="C26" i="2"/>
  <c r="Q26" i="2" s="1"/>
  <c r="C25" i="2"/>
  <c r="Q25" i="2" s="1"/>
  <c r="C24" i="2"/>
  <c r="Q24" i="2" s="1"/>
  <c r="C23" i="2"/>
  <c r="Q23" i="2" s="1"/>
  <c r="C22" i="2"/>
  <c r="Q22" i="2" s="1"/>
  <c r="C21" i="2"/>
  <c r="Q21" i="2" s="1"/>
  <c r="C20" i="2"/>
  <c r="Q20" i="2" s="1"/>
  <c r="C18" i="2"/>
  <c r="Q18" i="2" s="1"/>
  <c r="C17" i="2"/>
  <c r="Q17" i="2" s="1"/>
  <c r="C16" i="2"/>
  <c r="Q16" i="2" s="1"/>
  <c r="C15" i="2"/>
  <c r="Q15" i="2" s="1"/>
  <c r="B12" i="2"/>
  <c r="B13" i="2" s="1"/>
  <c r="M12" i="2"/>
  <c r="L12" i="2"/>
  <c r="K12" i="2"/>
  <c r="J12" i="2"/>
  <c r="I12" i="2"/>
  <c r="H12" i="2"/>
  <c r="G12" i="2"/>
  <c r="C9" i="2"/>
  <c r="Q9" i="2" s="1"/>
  <c r="P7" i="2"/>
  <c r="C7" i="2"/>
  <c r="Q7" i="2" s="1"/>
  <c r="C6" i="2"/>
  <c r="Q6" i="2" s="1"/>
  <c r="Q3" i="2"/>
  <c r="P3" i="2"/>
  <c r="T32" i="1"/>
  <c r="S32" i="1"/>
  <c r="R32" i="1"/>
  <c r="Q32" i="1"/>
  <c r="P32" i="1"/>
  <c r="O32" i="1"/>
  <c r="M31" i="1"/>
  <c r="G31" i="1"/>
  <c r="V31" i="1" s="1"/>
  <c r="N30" i="1"/>
  <c r="M30" i="1"/>
  <c r="L30" i="1"/>
  <c r="K30" i="1"/>
  <c r="J30" i="1"/>
  <c r="I30" i="1"/>
  <c r="U30" i="1" s="1"/>
  <c r="G30" i="1"/>
  <c r="V30" i="1" s="1"/>
  <c r="W30" i="1" s="1"/>
  <c r="G29" i="1"/>
  <c r="V29" i="1"/>
  <c r="L28" i="1"/>
  <c r="I28" i="1"/>
  <c r="G28" i="1"/>
  <c r="V28" i="1"/>
  <c r="J28" i="1"/>
  <c r="K28" i="1"/>
  <c r="M28" i="1"/>
  <c r="N27" i="1"/>
  <c r="M27" i="1"/>
  <c r="L27" i="1"/>
  <c r="K27" i="1"/>
  <c r="J27" i="1"/>
  <c r="I27" i="1"/>
  <c r="U27" i="1" s="1"/>
  <c r="G27" i="1"/>
  <c r="V27" i="1"/>
  <c r="W27" i="1" s="1"/>
  <c r="G26" i="1"/>
  <c r="V26" i="1"/>
  <c r="N25" i="1"/>
  <c r="M25" i="1"/>
  <c r="L25" i="1"/>
  <c r="K25" i="1"/>
  <c r="J25" i="1"/>
  <c r="I25" i="1"/>
  <c r="U25" i="1"/>
  <c r="G25" i="1"/>
  <c r="V25" i="1" s="1"/>
  <c r="W25" i="1" s="1"/>
  <c r="N24" i="1"/>
  <c r="M24" i="1"/>
  <c r="L24" i="1"/>
  <c r="K24" i="1"/>
  <c r="J24" i="1"/>
  <c r="I24" i="1"/>
  <c r="U24" i="1"/>
  <c r="F24" i="1"/>
  <c r="V23" i="1"/>
  <c r="G23" i="1"/>
  <c r="N22" i="1"/>
  <c r="M22" i="1"/>
  <c r="G22" i="1"/>
  <c r="V22" i="1"/>
  <c r="L21" i="1"/>
  <c r="I21" i="1"/>
  <c r="G21" i="1"/>
  <c r="V21" i="1"/>
  <c r="N20" i="1"/>
  <c r="G20" i="1"/>
  <c r="V20" i="1"/>
  <c r="N19" i="1"/>
  <c r="G19" i="1"/>
  <c r="V19" i="1" s="1"/>
  <c r="N18" i="1"/>
  <c r="M18" i="1"/>
  <c r="L18" i="1"/>
  <c r="G18" i="1"/>
  <c r="V18" i="1" s="1"/>
  <c r="V17" i="1"/>
  <c r="N17" i="1"/>
  <c r="M17" i="1"/>
  <c r="L17" i="1"/>
  <c r="K17" i="1"/>
  <c r="J17" i="1"/>
  <c r="I17" i="1"/>
  <c r="G17" i="1"/>
  <c r="V16" i="1"/>
  <c r="G16" i="1"/>
  <c r="N15" i="1"/>
  <c r="M15" i="1"/>
  <c r="L15" i="1"/>
  <c r="K15" i="1"/>
  <c r="J15" i="1"/>
  <c r="I15" i="1"/>
  <c r="U15" i="1"/>
  <c r="G15" i="1"/>
  <c r="V15" i="1"/>
  <c r="N14" i="1"/>
  <c r="L14" i="1"/>
  <c r="K14" i="1"/>
  <c r="G14" i="1"/>
  <c r="V14" i="1"/>
  <c r="N13" i="1"/>
  <c r="M13" i="1"/>
  <c r="L13" i="1"/>
  <c r="K13" i="1"/>
  <c r="J13" i="1"/>
  <c r="I13" i="1"/>
  <c r="G13" i="1"/>
  <c r="V13" i="1" s="1"/>
  <c r="N12" i="1"/>
  <c r="N16" i="1"/>
  <c r="M12" i="1"/>
  <c r="L12" i="1"/>
  <c r="K12" i="1"/>
  <c r="J12" i="1"/>
  <c r="I12" i="1"/>
  <c r="G12" i="1"/>
  <c r="V12" i="1" s="1"/>
  <c r="N10" i="1"/>
  <c r="M10" i="1"/>
  <c r="L10" i="1"/>
  <c r="K10" i="1"/>
  <c r="J10" i="1"/>
  <c r="H10" i="1"/>
  <c r="F10" i="1"/>
  <c r="V9" i="1"/>
  <c r="I9" i="1"/>
  <c r="U9" i="1"/>
  <c r="W9" i="1" s="1"/>
  <c r="U8" i="1"/>
  <c r="I7" i="1"/>
  <c r="I10" i="1" s="1"/>
  <c r="U10" i="1" s="1"/>
  <c r="U7" i="1"/>
  <c r="G7" i="1"/>
  <c r="V7" i="1" s="1"/>
  <c r="U6" i="1"/>
  <c r="U5" i="1"/>
  <c r="G5" i="1"/>
  <c r="V5" i="1" s="1"/>
  <c r="L26" i="1"/>
  <c r="L20" i="1"/>
  <c r="L31" i="1"/>
  <c r="U19" i="3"/>
  <c r="U26" i="3"/>
  <c r="U12" i="3"/>
  <c r="U22" i="3"/>
  <c r="U27" i="3"/>
  <c r="U32" i="3"/>
  <c r="F32" i="1"/>
  <c r="G24" i="1"/>
  <c r="V24" i="1" s="1"/>
  <c r="W24" i="1" s="1"/>
  <c r="H10" i="3"/>
  <c r="B6" i="9"/>
  <c r="D20" i="2" s="1"/>
  <c r="N3" i="7"/>
  <c r="G32" i="1"/>
  <c r="V32" i="1" s="1"/>
  <c r="M21" i="1"/>
  <c r="J22" i="1"/>
  <c r="U13" i="3"/>
  <c r="F33" i="3"/>
  <c r="G24" i="3"/>
  <c r="U24" i="3" s="1"/>
  <c r="K21" i="1"/>
  <c r="N12" i="4"/>
  <c r="B38" i="4"/>
  <c r="D15" i="2" s="1"/>
  <c r="G33" i="3"/>
  <c r="R33" i="2" l="1"/>
  <c r="C12" i="2"/>
  <c r="P12" i="2"/>
  <c r="N26" i="1"/>
  <c r="L23" i="1"/>
  <c r="K26" i="1"/>
  <c r="K18" i="1"/>
  <c r="K32" i="1"/>
  <c r="Q36" i="2"/>
  <c r="M23" i="1"/>
  <c r="I23" i="1"/>
  <c r="N31" i="1"/>
  <c r="K22" i="1"/>
  <c r="W5" i="1"/>
  <c r="G10" i="1"/>
  <c r="V10" i="1" s="1"/>
  <c r="W10" i="1" s="1"/>
  <c r="W15" i="1"/>
  <c r="T10" i="3"/>
  <c r="W7" i="1"/>
  <c r="Q12" i="2"/>
  <c r="J23" i="1"/>
  <c r="K19" i="1"/>
  <c r="I20" i="1"/>
  <c r="I22" i="1"/>
  <c r="M26" i="1"/>
  <c r="F5" i="2"/>
  <c r="E5" i="2"/>
  <c r="N6" i="13"/>
  <c r="R32" i="2"/>
  <c r="D5" i="2"/>
  <c r="K29" i="1"/>
  <c r="M29" i="1"/>
  <c r="J19" i="1"/>
  <c r="J31" i="1"/>
  <c r="J14" i="1"/>
  <c r="J32" i="1" s="1"/>
  <c r="N38" i="17"/>
  <c r="N40" i="17" s="1"/>
  <c r="R38" i="2"/>
  <c r="I19" i="1"/>
  <c r="I14" i="1"/>
  <c r="I32" i="1" s="1"/>
  <c r="I16" i="1"/>
  <c r="R7" i="2"/>
  <c r="R9" i="2"/>
  <c r="M37" i="2"/>
  <c r="O37" i="2"/>
  <c r="L37" i="2"/>
  <c r="P40" i="2"/>
  <c r="R40" i="2" s="1"/>
  <c r="G37" i="2"/>
  <c r="J37" i="2"/>
  <c r="E37" i="2"/>
  <c r="R31" i="2"/>
  <c r="I37" i="2"/>
  <c r="R34" i="2"/>
  <c r="D37" i="2"/>
  <c r="P24" i="2"/>
  <c r="R24" i="2" s="1"/>
  <c r="H37" i="2"/>
  <c r="B36" i="2"/>
  <c r="B48" i="2" s="1"/>
  <c r="Q48" i="2" s="1"/>
  <c r="C36" i="2"/>
  <c r="N27" i="10"/>
  <c r="N29" i="10" s="1"/>
  <c r="M19" i="1"/>
  <c r="L19" i="1"/>
  <c r="K37" i="2"/>
  <c r="F35" i="2"/>
  <c r="P35" i="2" s="1"/>
  <c r="R35" i="2" s="1"/>
  <c r="I31" i="1"/>
  <c r="N29" i="1"/>
  <c r="I29" i="1"/>
  <c r="N28" i="1"/>
  <c r="N23" i="1"/>
  <c r="N30" i="14"/>
  <c r="N32" i="14" s="1"/>
  <c r="K23" i="1"/>
  <c r="N8" i="13"/>
  <c r="L22" i="1"/>
  <c r="U22" i="1" s="1"/>
  <c r="W22" i="1" s="1"/>
  <c r="P22" i="2"/>
  <c r="R22" i="2" s="1"/>
  <c r="J20" i="1"/>
  <c r="M20" i="1"/>
  <c r="K36" i="2"/>
  <c r="J21" i="1"/>
  <c r="U21" i="1" s="1"/>
  <c r="W21" i="1" s="1"/>
  <c r="L36" i="2"/>
  <c r="U17" i="1"/>
  <c r="N7" i="8"/>
  <c r="J16" i="1"/>
  <c r="K16" i="1"/>
  <c r="P18" i="2"/>
  <c r="R18" i="2" s="1"/>
  <c r="L16" i="1"/>
  <c r="O36" i="2"/>
  <c r="O48" i="2" s="1"/>
  <c r="M14" i="1"/>
  <c r="L32" i="1"/>
  <c r="N38" i="4"/>
  <c r="H36" i="2"/>
  <c r="D27" i="2"/>
  <c r="D36" i="2" s="1"/>
  <c r="I26" i="1"/>
  <c r="N6" i="9"/>
  <c r="I36" i="2"/>
  <c r="M36" i="2"/>
  <c r="U13" i="1"/>
  <c r="W13" i="1" s="1"/>
  <c r="W17" i="1"/>
  <c r="U12" i="1"/>
  <c r="U28" i="1"/>
  <c r="W28" i="1" s="1"/>
  <c r="P26" i="2"/>
  <c r="R26" i="2" s="1"/>
  <c r="P21" i="2"/>
  <c r="R21" i="2" s="1"/>
  <c r="L29" i="1"/>
  <c r="G30" i="2"/>
  <c r="G36" i="2" s="1"/>
  <c r="P17" i="2"/>
  <c r="R17" i="2" s="1"/>
  <c r="J18" i="1"/>
  <c r="I18" i="1"/>
  <c r="N9" i="16"/>
  <c r="M16" i="1"/>
  <c r="L6" i="9"/>
  <c r="N20" i="2" s="1"/>
  <c r="N36" i="2" s="1"/>
  <c r="P23" i="2"/>
  <c r="R23" i="2" s="1"/>
  <c r="P25" i="2"/>
  <c r="R25" i="2" s="1"/>
  <c r="N3" i="19"/>
  <c r="N34" i="19" s="1"/>
  <c r="C34" i="19"/>
  <c r="N10" i="6"/>
  <c r="N30" i="16"/>
  <c r="H48" i="16"/>
  <c r="J27" i="2" s="1"/>
  <c r="J36" i="2" s="1"/>
  <c r="N37" i="2"/>
  <c r="P28" i="2"/>
  <c r="R28" i="2" s="1"/>
  <c r="P43" i="2"/>
  <c r="R43" i="2" s="1"/>
  <c r="P6" i="2"/>
  <c r="R6" i="2" s="1"/>
  <c r="P16" i="2"/>
  <c r="R16" i="2" s="1"/>
  <c r="N5" i="7"/>
  <c r="N6" i="7" s="1"/>
  <c r="N8" i="7" s="1"/>
  <c r="P19" i="2"/>
  <c r="R19" i="2" s="1"/>
  <c r="U25" i="3"/>
  <c r="U33" i="3" s="1"/>
  <c r="U30" i="3"/>
  <c r="D38" i="4"/>
  <c r="F15" i="2" s="1"/>
  <c r="N10" i="12"/>
  <c r="N12" i="12" s="1"/>
  <c r="N4" i="15"/>
  <c r="N38" i="15" s="1"/>
  <c r="N40" i="15" s="1"/>
  <c r="C48" i="16"/>
  <c r="P41" i="2"/>
  <c r="R41" i="2" s="1"/>
  <c r="P29" i="2"/>
  <c r="R29" i="2" s="1"/>
  <c r="N12" i="20"/>
  <c r="N66" i="20" s="1"/>
  <c r="N68" i="20" s="1"/>
  <c r="F36" i="2" l="1"/>
  <c r="F48" i="2" s="1"/>
  <c r="I48" i="2"/>
  <c r="U23" i="1"/>
  <c r="W23" i="1" s="1"/>
  <c r="U31" i="1"/>
  <c r="W31" i="1" s="1"/>
  <c r="R12" i="2"/>
  <c r="U20" i="1"/>
  <c r="W20" i="1" s="1"/>
  <c r="M32" i="1"/>
  <c r="N36" i="19"/>
  <c r="U14" i="1"/>
  <c r="W14" i="1" s="1"/>
  <c r="U19" i="1"/>
  <c r="W19" i="1" s="1"/>
  <c r="G48" i="2"/>
  <c r="M48" i="2"/>
  <c r="P37" i="2"/>
  <c r="J48" i="2"/>
  <c r="H48" i="2"/>
  <c r="L48" i="2"/>
  <c r="D48" i="2"/>
  <c r="R37" i="2"/>
  <c r="K48" i="2"/>
  <c r="N48" i="16"/>
  <c r="N50" i="16" s="1"/>
  <c r="N32" i="1"/>
  <c r="U18" i="1"/>
  <c r="W18" i="1" s="1"/>
  <c r="U16" i="1"/>
  <c r="W16" i="1" s="1"/>
  <c r="W12" i="1"/>
  <c r="E27" i="2"/>
  <c r="P27" i="2" s="1"/>
  <c r="R27" i="2" s="1"/>
  <c r="J26" i="1"/>
  <c r="U26" i="1" s="1"/>
  <c r="W26" i="1" s="1"/>
  <c r="E30" i="2"/>
  <c r="P30" i="2" s="1"/>
  <c r="R30" i="2" s="1"/>
  <c r="J29" i="1"/>
  <c r="U29" i="1" s="1"/>
  <c r="W29" i="1" s="1"/>
  <c r="N48" i="2"/>
  <c r="P15" i="2"/>
  <c r="N8" i="9"/>
  <c r="N39" i="4"/>
  <c r="P20" i="2"/>
  <c r="R20" i="2" s="1"/>
  <c r="U32" i="1" l="1"/>
  <c r="W32" i="1"/>
  <c r="E36" i="2"/>
  <c r="E48" i="2" s="1"/>
  <c r="P36" i="2"/>
  <c r="P48" i="2" s="1"/>
  <c r="R15" i="2"/>
  <c r="R36" i="2" s="1"/>
  <c r="R48" i="2" s="1"/>
</calcChain>
</file>

<file path=xl/sharedStrings.xml><?xml version="1.0" encoding="utf-8"?>
<sst xmlns="http://schemas.openxmlformats.org/spreadsheetml/2006/main" count="545" uniqueCount="244">
  <si>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</si>
  <si>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</si>
  <si>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</si>
  <si>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</si>
  <si>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</si>
  <si>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</si>
  <si>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</si>
  <si>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</si>
  <si>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</si>
  <si>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</si>
  <si>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</si>
  <si>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</si>
  <si>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</si>
  <si>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</si>
  <si>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</si>
  <si>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</si>
  <si>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</si>
  <si>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</si>
  <si>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</si>
  <si>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</si>
  <si>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</si>
  <si>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</si>
  <si>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</si>
  <si>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</si>
  <si>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</si>
  <si>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</si>
  <si>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</si>
  <si>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</si>
  <si>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</si>
  <si>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</si>
  <si>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</si>
  <si>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</si>
  <si>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</si>
  <si>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</si>
  <si>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</si>
  <si>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</si>
  <si>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</si>
  <si>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</si>
  <si>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</si>
  <si>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</si>
  <si>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</si>
  <si>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</si>
  <si>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</si>
  <si>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</si>
  <si>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</si>
  <si>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</si>
  <si>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</si>
  <si>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</si>
  <si>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</si>
  <si>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</si>
  <si>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</si>
  <si>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</si>
  <si>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</si>
  <si>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</si>
  <si>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</si>
  <si>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</si>
  <si>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</si>
  <si>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</si>
  <si>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</si>
  <si>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</si>
  <si>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</si>
  <si>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</si>
  <si>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</si>
  <si>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</si>
  <si>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</si>
  <si>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</si>
  <si>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</si>
  <si>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</si>
  <si>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</si>
  <si>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</si>
  <si>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</si>
  <si>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</si>
  <si>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</si>
  <si>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</si>
  <si>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Оформление земли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</si>
  <si>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</si>
  <si>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</si>
  <si>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</si>
  <si>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</si>
  <si>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</si>
  <si>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</si>
  <si>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</si>
  <si>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</si>
  <si>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</si>
  <si>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</si>
  <si>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</si>
  <si>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</si>
  <si>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</si>
  <si>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</si>
  <si>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</si>
  <si>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</si>
  <si>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</si>
  <si>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</si>
  <si>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</si>
  <si>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</si>
  <si>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</si>
  <si>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</si>
  <si>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</si>
  <si>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</si>
  <si>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</si>
  <si>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</si>
  <si>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</si>
  <si>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</si>
  <si>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</si>
  <si>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</si>
  <si>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</si>
  <si>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Почтовые отправления</t>
  </si>
  <si>
    <t>Обновление 1С</t>
  </si>
  <si>
    <t>Сайт</t>
  </si>
  <si>
    <t>СБИС отчетность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</si>
  <si>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</si>
  <si>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</si>
  <si>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</si>
  <si>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</si>
  <si>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</si>
  <si>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</si>
  <si>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</si>
  <si>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</si>
  <si>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Пени, штрафы</t>
  </si>
  <si>
    <t>Приобретение инструментов и хоз инвентаря</t>
  </si>
  <si>
    <t>ИТОГО:</t>
  </si>
  <si>
    <t>мусор</t>
  </si>
  <si>
    <t>ветки</t>
  </si>
  <si>
    <t>Содержание сетей канализации</t>
  </si>
  <si>
    <t>Откачка МТК</t>
  </si>
  <si>
    <t>илосос</t>
  </si>
  <si>
    <t>Электроэнергия на общие нужды</t>
  </si>
  <si>
    <t>Возмещение затрат на эл.эн.</t>
  </si>
  <si>
    <t xml:space="preserve">Благоустройство территории </t>
  </si>
  <si>
    <t>Бензин АИ 92</t>
  </si>
  <si>
    <t>Бензин АИ 95</t>
  </si>
  <si>
    <t>Дт</t>
  </si>
  <si>
    <t>Резервный фонд</t>
  </si>
  <si>
    <t>рег.оператор</t>
  </si>
  <si>
    <t>УСН</t>
  </si>
  <si>
    <t>водный налог</t>
  </si>
  <si>
    <t>Дизель</t>
  </si>
  <si>
    <t>анализ воды</t>
  </si>
  <si>
    <t>Яндекс-диск</t>
  </si>
  <si>
    <t>2023-2024гг.</t>
  </si>
  <si>
    <t>Главный бухгалтер</t>
  </si>
  <si>
    <t>Водоподготовка</t>
  </si>
  <si>
    <t>Реконструкция дет.площадки д/малышей</t>
  </si>
  <si>
    <t>Тампонаж скважин</t>
  </si>
  <si>
    <t>Частотник на ВЗУ</t>
  </si>
  <si>
    <t>Подключение скважины</t>
  </si>
  <si>
    <t>Премия ревизору</t>
  </si>
  <si>
    <t>Социальн. Налоги на премию ревизора</t>
  </si>
  <si>
    <t>Асфальт на Парковой от 3 КПП до перекр. С Тенистой</t>
  </si>
  <si>
    <t>Щебень</t>
  </si>
  <si>
    <t>Доставка</t>
  </si>
  <si>
    <t>Холодный асфальт</t>
  </si>
  <si>
    <t>Урны д/собачьих площадок</t>
  </si>
  <si>
    <t>Ремонт и з/ч д/Ларгуса</t>
  </si>
  <si>
    <t>Нотариус</t>
  </si>
  <si>
    <t>Объявления о приеме на работу</t>
  </si>
  <si>
    <t>2 моб.телефона, чехлы,защитные стекла</t>
  </si>
  <si>
    <t>ремонт камеры трактора</t>
  </si>
  <si>
    <t>пескобетон</t>
  </si>
  <si>
    <t>лопаты, круги, мешки</t>
  </si>
  <si>
    <t>семена</t>
  </si>
  <si>
    <t>леска д/триммера</t>
  </si>
  <si>
    <t>кран + подводка</t>
  </si>
  <si>
    <t>картриджи</t>
  </si>
  <si>
    <t>крепеж д/унитаза</t>
  </si>
  <si>
    <t>биты</t>
  </si>
  <si>
    <t>лента сигнальная</t>
  </si>
  <si>
    <t>перчатки</t>
  </si>
  <si>
    <t>болгарка</t>
  </si>
  <si>
    <t>спецодежда</t>
  </si>
  <si>
    <t>тех план газопровода</t>
  </si>
  <si>
    <t>госпошлина</t>
  </si>
  <si>
    <t>С2 ан.сточных вод 50%</t>
  </si>
  <si>
    <t>ножи д/трактора</t>
  </si>
  <si>
    <t>устранение аварийн. Засора</t>
  </si>
  <si>
    <t>объявл. По подбору персонала</t>
  </si>
  <si>
    <t>аренда экскаватора, прорыв</t>
  </si>
  <si>
    <t>Компенсация 50% штрафа</t>
  </si>
  <si>
    <t>кабель</t>
  </si>
  <si>
    <t>ламинатор</t>
  </si>
  <si>
    <t>дырокол</t>
  </si>
  <si>
    <t>бирка д/ключей</t>
  </si>
  <si>
    <t>шторка д/охраны</t>
  </si>
  <si>
    <t>труба проф., лестница</t>
  </si>
  <si>
    <t>диск по мет., замок, петля гаражн.</t>
  </si>
  <si>
    <t>цемент</t>
  </si>
  <si>
    <t>саморезы кровельные</t>
  </si>
  <si>
    <t>краска, кисти</t>
  </si>
  <si>
    <t>полоса мет.</t>
  </si>
  <si>
    <t>уровень</t>
  </si>
  <si>
    <t>черенок</t>
  </si>
  <si>
    <t>люк пп на трубу</t>
  </si>
  <si>
    <t>мешки д/мусора</t>
  </si>
  <si>
    <t>мышь комп.</t>
  </si>
  <si>
    <t>замок д/ларгуса</t>
  </si>
  <si>
    <t>бензоножницы</t>
  </si>
  <si>
    <t>цепь д/бензопилы</t>
  </si>
  <si>
    <t>мотыга</t>
  </si>
  <si>
    <t>заглушка</t>
  </si>
  <si>
    <t>фитинг</t>
  </si>
  <si>
    <t>нож д/газонокосилки</t>
  </si>
  <si>
    <t>рукав пожарный</t>
  </si>
  <si>
    <t>Исполнение финансового плана ТСН "КП "Согласие" за июнь 2023 - август 2023</t>
  </si>
  <si>
    <t>Экспертиза д/суда по зданию</t>
  </si>
  <si>
    <t>ремонт шлагбаума КПП 2</t>
  </si>
  <si>
    <t>песок мытый</t>
  </si>
  <si>
    <t>Ростелеком, модемы</t>
  </si>
  <si>
    <t>Блок управл. Шлагбаум</t>
  </si>
  <si>
    <t>Фотоэлементы д/шлагбаума</t>
  </si>
  <si>
    <t>черенок д/грабель</t>
  </si>
  <si>
    <t>крепеж паук д/сетки</t>
  </si>
  <si>
    <t>карбюратор д/газонокосилки</t>
  </si>
  <si>
    <t>катушка к триммеру</t>
  </si>
  <si>
    <t>Качели деревянные</t>
  </si>
  <si>
    <t>батарейки</t>
  </si>
  <si>
    <t>светодиодные прожектора</t>
  </si>
  <si>
    <t>блок питания д/прожекторов</t>
  </si>
  <si>
    <t>лампа светодиодная</t>
  </si>
  <si>
    <t>шуруповерт</t>
  </si>
  <si>
    <t>бензотриммер</t>
  </si>
  <si>
    <t>карабин д/качелей, пинотекс</t>
  </si>
  <si>
    <t>болт</t>
  </si>
  <si>
    <t>хомут ремонтный</t>
  </si>
  <si>
    <t>замок навесной</t>
  </si>
  <si>
    <t>кольцо уплотнительное</t>
  </si>
  <si>
    <t>герметик силиконовый</t>
  </si>
  <si>
    <t>кронштейны д/уличного светильника</t>
  </si>
  <si>
    <t>клемник</t>
  </si>
  <si>
    <t>лента монтажная</t>
  </si>
  <si>
    <t>регистрация устава</t>
  </si>
  <si>
    <t>насос д/перекачки топлива</t>
  </si>
  <si>
    <t>кронштейн опоры двигателя ЗИЛ</t>
  </si>
  <si>
    <t>откачка биотуалетов</t>
  </si>
  <si>
    <t>Объявления, пропуска, инф.таблички</t>
  </si>
  <si>
    <t>71сч на нач мес</t>
  </si>
  <si>
    <t>катушка, храповик, масло</t>
  </si>
  <si>
    <t>Возврат денежных средств</t>
  </si>
  <si>
    <t>71сч на конец мес</t>
  </si>
  <si>
    <t>терминал на нач мес</t>
  </si>
  <si>
    <t>терминал на конец мес</t>
  </si>
  <si>
    <t>остаток ден ср-в на конец мес</t>
  </si>
  <si>
    <t>приход по 51сч</t>
  </si>
  <si>
    <t>расход по 51сч</t>
  </si>
  <si>
    <t>Остаток денежных средств на конец расчетного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</si>
</sst>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4"/>
      <color indexed="64"/>
      <name val="Arial"/>
      <family val="2"/>
      <charset val="204"/>
    </font>
    <font>
      <b/>
      <sz val="11"/>
      <color indexed="64"/>
      <name val="Arial"/>
      <family val="2"/>
      <charset val="204"/>
    </font>
    <font>
      <b/>
      <sz val="12"/>
      <color indexed="64"/>
      <name val="Arial"/>
      <family val="2"/>
      <charset val="204"/>
    </font>
    <font>
      <b/>
      <sz val="12"/>
      <color indexed="64"/>
      <name val="Calibri"/>
      <family val="2"/>
      <charset val="204"/>
    </font>
    <font>
      <b/>
      <i/>
      <sz val="14"/>
      <color indexed="64"/>
      <name val="Calibri"/>
      <family val="2"/>
      <charset val="204"/>
    </font>
    <font>
      <sz val="12"/>
      <color indexed="64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64"/>
      <name val="Calibri"/>
      <family val="2"/>
      <charset val="204"/>
    </font>
    <font>
      <sz val="11"/>
      <color indexed="64"/>
      <name val="Arial"/>
      <family val="2"/>
      <charset val="204"/>
    </font>
    <font>
      <b/>
      <i/>
      <sz val="10"/>
      <color indexed="64"/>
      <name val="Arial"/>
      <family val="2"/>
      <charset val="204"/>
    </font>
    <font>
      <b/>
      <i/>
      <sz val="10"/>
      <color indexed="64"/>
      <name val="Calibri"/>
      <family val="2"/>
      <charset val="204"/>
    </font>
    <font>
      <b/>
      <i/>
      <u/>
      <sz val="11"/>
      <color indexed="64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indexed="55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i/>
      <sz val="12"/>
      <color indexed="64"/>
      <name val="Calibri"/>
      <family val="2"/>
      <charset val="204"/>
    </font>
    <font>
      <b/>
      <i/>
      <sz val="11"/>
      <color indexed="64"/>
      <name val="Calibri"/>
      <family val="2"/>
      <charset val="204"/>
    </font>
    <font>
      <i/>
      <sz val="11"/>
      <color indexed="64"/>
      <name val="Calibri"/>
      <family val="2"/>
      <charset val="204"/>
    </font>
    <font>
      <b/>
      <i/>
      <sz val="11"/>
      <color indexed="17"/>
      <name val="Calibri"/>
      <family val="2"/>
      <charset val="204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</font>
    <font>
      <sz val="11"/>
      <color theme="0" tint="-0.249977111117893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color indexed="6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b/>
      <u val="singleAccounting"/>
      <sz val="1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37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8" fillId="0" borderId="0" xfId="0" applyFont="1" applyAlignment="1">
      <alignment horizontal="right" wrapText="1"/>
    </xf>
    <xf numFmtId="164" fontId="18" fillId="0" borderId="0" xfId="2" applyNumberFormat="1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9" fillId="4" borderId="8" xfId="2" applyNumberFormat="1" applyFont="1" applyFill="1" applyBorder="1" applyAlignment="1">
      <alignment horizontal="center"/>
    </xf>
    <xf numFmtId="164" fontId="5" fillId="0" borderId="4" xfId="2" applyNumberFormat="1" applyFont="1" applyBorder="1" applyAlignment="1">
      <alignment horizontal="center" vertical="center" wrapText="1"/>
    </xf>
    <xf numFmtId="164" fontId="9" fillId="5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/>
    <xf numFmtId="164" fontId="12" fillId="2" borderId="8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164" fontId="9" fillId="7" borderId="8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8" xfId="2" applyNumberFormat="1" applyFont="1" applyFill="1" applyBorder="1" applyAlignment="1">
      <alignment vertical="center"/>
    </xf>
    <xf numFmtId="164" fontId="11" fillId="0" borderId="8" xfId="2" applyNumberFormat="1" applyFont="1" applyBorder="1" applyAlignment="1">
      <alignment horizontal="center"/>
    </xf>
    <xf numFmtId="164" fontId="11" fillId="0" borderId="8" xfId="2" applyNumberFormat="1" applyFont="1" applyBorder="1"/>
    <xf numFmtId="164" fontId="11" fillId="0" borderId="8" xfId="2" applyNumberFormat="1" applyFont="1" applyBorder="1" applyAlignment="1">
      <alignment horizontal="center" vertical="center"/>
    </xf>
    <xf numFmtId="164" fontId="12" fillId="0" borderId="8" xfId="2" applyNumberFormat="1" applyFont="1" applyBorder="1"/>
    <xf numFmtId="164" fontId="9" fillId="0" borderId="8" xfId="2" applyNumberFormat="1" applyFont="1" applyBorder="1" applyAlignment="1">
      <alignment vertical="center"/>
    </xf>
    <xf numFmtId="164" fontId="9" fillId="4" borderId="10" xfId="2" applyNumberFormat="1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9" fillId="0" borderId="1" xfId="0" applyFont="1" applyBorder="1" applyAlignment="1">
      <alignment horizontal="left" wrapText="1"/>
    </xf>
    <xf numFmtId="164" fontId="9" fillId="0" borderId="0" xfId="2" applyNumberFormat="1" applyFont="1" applyAlignment="1">
      <alignment horizontal="center"/>
    </xf>
    <xf numFmtId="0" fontId="10" fillId="9" borderId="8" xfId="0" applyFont="1" applyFill="1" applyBorder="1" applyAlignment="1">
      <alignment wrapText="1"/>
    </xf>
    <xf numFmtId="164" fontId="9" fillId="0" borderId="7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1" fillId="9" borderId="8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/>
    </xf>
    <xf numFmtId="164" fontId="11" fillId="9" borderId="5" xfId="2" applyNumberFormat="1" applyFont="1" applyFill="1" applyBorder="1" applyAlignment="1">
      <alignment horizontal="center"/>
    </xf>
    <xf numFmtId="164" fontId="12" fillId="9" borderId="5" xfId="2" applyNumberFormat="1" applyFont="1" applyFill="1" applyBorder="1" applyAlignment="1">
      <alignment horizontal="center"/>
    </xf>
    <xf numFmtId="164" fontId="9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9" fillId="5" borderId="3" xfId="2" applyNumberFormat="1" applyFont="1" applyFill="1" applyBorder="1" applyAlignment="1">
      <alignment horizontal="center"/>
    </xf>
    <xf numFmtId="164" fontId="11" fillId="9" borderId="3" xfId="2" applyNumberFormat="1" applyFont="1" applyFill="1" applyBorder="1" applyAlignment="1">
      <alignment horizontal="center"/>
    </xf>
    <xf numFmtId="164" fontId="9" fillId="5" borderId="5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11" fillId="9" borderId="10" xfId="2" applyNumberFormat="1" applyFont="1" applyFill="1" applyBorder="1" applyAlignment="1">
      <alignment horizontal="center"/>
    </xf>
    <xf numFmtId="164" fontId="9" fillId="13" borderId="10" xfId="2" applyNumberFormat="1" applyFont="1" applyFill="1" applyBorder="1" applyAlignment="1">
      <alignment horizontal="center"/>
    </xf>
    <xf numFmtId="164" fontId="9" fillId="8" borderId="10" xfId="2" applyNumberFormat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164" fontId="9" fillId="4" borderId="14" xfId="2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2" applyNumberFormat="1" applyFont="1" applyAlignment="1">
      <alignment horizontal="center"/>
    </xf>
    <xf numFmtId="164" fontId="20" fillId="0" borderId="0" xfId="2" applyNumberFormat="1" applyFont="1"/>
    <xf numFmtId="0" fontId="21" fillId="0" borderId="0" xfId="0" applyFont="1"/>
    <xf numFmtId="0" fontId="19" fillId="0" borderId="0" xfId="0" applyFont="1" applyAlignment="1">
      <alignment wrapText="1"/>
    </xf>
    <xf numFmtId="164" fontId="19" fillId="0" borderId="0" xfId="2" applyNumberFormat="1" applyFont="1" applyAlignment="1">
      <alignment horizontal="center"/>
    </xf>
    <xf numFmtId="164" fontId="19" fillId="0" borderId="0" xfId="2" applyNumberFormat="1" applyFont="1"/>
    <xf numFmtId="164" fontId="22" fillId="0" borderId="0" xfId="2" applyNumberFormat="1" applyFont="1"/>
    <xf numFmtId="164" fontId="23" fillId="0" borderId="0" xfId="2" applyNumberFormat="1" applyFont="1"/>
    <xf numFmtId="164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left"/>
    </xf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4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5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9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9" fillId="3" borderId="8" xfId="0" applyFont="1" applyFill="1" applyBorder="1"/>
    <xf numFmtId="3" fontId="23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3" fillId="3" borderId="7" xfId="0" applyFont="1" applyFill="1" applyBorder="1"/>
    <xf numFmtId="0" fontId="26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7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9" fillId="3" borderId="5" xfId="0" applyNumberFormat="1" applyFont="1" applyFill="1" applyBorder="1"/>
    <xf numFmtId="3" fontId="27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7" fillId="0" borderId="0" xfId="0" applyFont="1"/>
    <xf numFmtId="0" fontId="28" fillId="0" borderId="1" xfId="1" applyFont="1" applyBorder="1" applyAlignment="1">
      <alignment wrapText="1"/>
    </xf>
    <xf numFmtId="0" fontId="3" fillId="0" borderId="1" xfId="1" applyBorder="1" applyAlignment="1">
      <alignment horizontal="center"/>
    </xf>
    <xf numFmtId="0" fontId="28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Alignment="1">
      <alignment wrapText="1"/>
    </xf>
    <xf numFmtId="0" fontId="3" fillId="0" borderId="3" xfId="1" applyBorder="1" applyAlignment="1">
      <alignment horizontal="center"/>
    </xf>
    <xf numFmtId="0" fontId="3" fillId="0" borderId="0" xfId="1" applyAlignment="1">
      <alignment horizontal="center"/>
    </xf>
    <xf numFmtId="0" fontId="3" fillId="0" borderId="17" xfId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Border="1" applyAlignment="1">
      <alignment wrapText="1"/>
    </xf>
    <xf numFmtId="0" fontId="3" fillId="0" borderId="5" xfId="1" applyBorder="1" applyAlignment="1">
      <alignment horizontal="center"/>
    </xf>
    <xf numFmtId="0" fontId="3" fillId="0" borderId="14" xfId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ill="1" applyBorder="1" applyAlignment="1">
      <alignment wrapText="1"/>
    </xf>
    <xf numFmtId="0" fontId="3" fillId="0" borderId="8" xfId="1" applyBorder="1" applyAlignment="1">
      <alignment horizontal="center"/>
    </xf>
    <xf numFmtId="0" fontId="3" fillId="0" borderId="13" xfId="1" applyBorder="1" applyAlignment="1">
      <alignment horizontal="center"/>
    </xf>
    <xf numFmtId="0" fontId="3" fillId="0" borderId="7" xfId="1" applyBorder="1" applyAlignment="1">
      <alignment wrapText="1"/>
    </xf>
    <xf numFmtId="2" fontId="3" fillId="0" borderId="1" xfId="1" applyNumberFormat="1" applyBorder="1" applyAlignment="1">
      <alignment wrapText="1"/>
    </xf>
    <xf numFmtId="2" fontId="3" fillId="0" borderId="7" xfId="1" applyNumberFormat="1" applyBorder="1" applyAlignment="1">
      <alignment wrapText="1"/>
    </xf>
    <xf numFmtId="0" fontId="3" fillId="0" borderId="7" xfId="1" applyBorder="1" applyAlignment="1">
      <alignment vertical="center" wrapText="1"/>
    </xf>
    <xf numFmtId="0" fontId="0" fillId="0" borderId="8" xfId="0" applyBorder="1" applyAlignment="1">
      <alignment wrapText="1"/>
    </xf>
    <xf numFmtId="0" fontId="3" fillId="0" borderId="5" xfId="1" applyBorder="1"/>
    <xf numFmtId="0" fontId="3" fillId="0" borderId="14" xfId="1" applyBorder="1"/>
    <xf numFmtId="0" fontId="3" fillId="0" borderId="8" xfId="1" applyBorder="1"/>
    <xf numFmtId="0" fontId="3" fillId="0" borderId="13" xfId="1" applyBorder="1"/>
    <xf numFmtId="3" fontId="28" fillId="8" borderId="5" xfId="1" applyNumberFormat="1" applyFont="1" applyFill="1" applyBorder="1" applyAlignment="1">
      <alignment horizontal="center"/>
    </xf>
    <xf numFmtId="164" fontId="28" fillId="8" borderId="5" xfId="2" applyNumberFormat="1" applyFont="1" applyFill="1" applyBorder="1" applyAlignment="1">
      <alignment horizontal="center"/>
    </xf>
    <xf numFmtId="0" fontId="28" fillId="0" borderId="1" xfId="1" applyFont="1" applyBorder="1"/>
    <xf numFmtId="0" fontId="3" fillId="0" borderId="0" xfId="1"/>
    <xf numFmtId="0" fontId="3" fillId="0" borderId="8" xfId="1" applyBorder="1" applyAlignment="1">
      <alignment vertical="center"/>
    </xf>
    <xf numFmtId="0" fontId="28" fillId="0" borderId="8" xfId="1" applyFont="1" applyBorder="1"/>
    <xf numFmtId="3" fontId="28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Border="1"/>
    <xf numFmtId="0" fontId="28" fillId="0" borderId="8" xfId="1" applyFont="1" applyBorder="1" applyAlignment="1">
      <alignment horizontal="left"/>
    </xf>
    <xf numFmtId="0" fontId="28" fillId="8" borderId="8" xfId="1" applyFont="1" applyFill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3" fillId="0" borderId="7" xfId="1" applyBorder="1" applyAlignment="1">
      <alignment horizontal="left" vertical="center" wrapText="1"/>
    </xf>
    <xf numFmtId="0" fontId="3" fillId="0" borderId="7" xfId="1" applyBorder="1"/>
    <xf numFmtId="3" fontId="28" fillId="8" borderId="5" xfId="1" applyNumberFormat="1" applyFont="1" applyFill="1" applyBorder="1"/>
    <xf numFmtId="0" fontId="11" fillId="0" borderId="0" xfId="0" applyFont="1"/>
    <xf numFmtId="0" fontId="30" fillId="0" borderId="0" xfId="0" applyFont="1" applyAlignment="1">
      <alignment wrapText="1"/>
    </xf>
    <xf numFmtId="0" fontId="3" fillId="0" borderId="7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Border="1"/>
    <xf numFmtId="0" fontId="3" fillId="0" borderId="3" xfId="1" applyBorder="1"/>
    <xf numFmtId="0" fontId="3" fillId="0" borderId="17" xfId="1" applyBorder="1"/>
    <xf numFmtId="0" fontId="3" fillId="0" borderId="8" xfId="1" applyBorder="1" applyAlignment="1">
      <alignment horizontal="left"/>
    </xf>
    <xf numFmtId="0" fontId="3" fillId="0" borderId="8" xfId="1" applyBorder="1" applyAlignment="1">
      <alignment horizontal="left" vertical="center" wrapText="1"/>
    </xf>
    <xf numFmtId="0" fontId="3" fillId="0" borderId="9" xfId="1" applyBorder="1"/>
    <xf numFmtId="0" fontId="3" fillId="0" borderId="17" xfId="1" applyBorder="1" applyAlignment="1">
      <alignment wrapText="1"/>
    </xf>
    <xf numFmtId="0" fontId="3" fillId="0" borderId="8" xfId="1" applyBorder="1" applyAlignment="1">
      <alignment wrapText="1"/>
    </xf>
    <xf numFmtId="0" fontId="28" fillId="8" borderId="14" xfId="1" applyFont="1" applyFill="1" applyBorder="1"/>
    <xf numFmtId="1" fontId="28" fillId="8" borderId="5" xfId="1" applyNumberFormat="1" applyFont="1" applyFill="1" applyBorder="1" applyAlignment="1">
      <alignment horizontal="center"/>
    </xf>
    <xf numFmtId="0" fontId="3" fillId="0" borderId="2" xfId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4" xfId="2" applyNumberFormat="1" applyFont="1" applyBorder="1"/>
    <xf numFmtId="0" fontId="3" fillId="0" borderId="7" xfId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0" fontId="3" fillId="0" borderId="7" xfId="1" applyBorder="1" applyAlignment="1">
      <alignment horizontal="left"/>
    </xf>
    <xf numFmtId="0" fontId="3" fillId="0" borderId="1" xfId="1" applyBorder="1" applyAlignment="1">
      <alignment horizontal="left"/>
    </xf>
    <xf numFmtId="164" fontId="32" fillId="0" borderId="0" xfId="2" applyNumberFormat="1" applyFont="1" applyFill="1"/>
    <xf numFmtId="0" fontId="28" fillId="14" borderId="1" xfId="1" applyFont="1" applyFill="1" applyBorder="1"/>
    <xf numFmtId="164" fontId="3" fillId="0" borderId="0" xfId="2" applyNumberFormat="1" applyFont="1"/>
    <xf numFmtId="164" fontId="3" fillId="0" borderId="3" xfId="2" applyNumberFormat="1" applyFont="1" applyBorder="1"/>
    <xf numFmtId="164" fontId="28" fillId="8" borderId="5" xfId="2" applyNumberFormat="1" applyFont="1" applyFill="1" applyBorder="1"/>
    <xf numFmtId="164" fontId="9" fillId="16" borderId="5" xfId="2" applyNumberFormat="1" applyFont="1" applyFill="1" applyBorder="1" applyAlignment="1">
      <alignment horizontal="center"/>
    </xf>
    <xf numFmtId="43" fontId="3" fillId="0" borderId="8" xfId="2" applyFont="1" applyBorder="1"/>
    <xf numFmtId="164" fontId="34" fillId="0" borderId="5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164" fontId="3" fillId="0" borderId="1" xfId="2" applyNumberFormat="1" applyFont="1" applyBorder="1"/>
    <xf numFmtId="164" fontId="28" fillId="0" borderId="1" xfId="2" applyNumberFormat="1" applyFont="1" applyBorder="1"/>
    <xf numFmtId="164" fontId="3" fillId="0" borderId="17" xfId="2" applyNumberFormat="1" applyFont="1" applyBorder="1"/>
    <xf numFmtId="164" fontId="3" fillId="0" borderId="8" xfId="2" applyNumberFormat="1" applyFont="1" applyFill="1" applyBorder="1"/>
    <xf numFmtId="164" fontId="3" fillId="0" borderId="5" xfId="2" applyNumberFormat="1" applyFont="1" applyFill="1" applyBorder="1"/>
    <xf numFmtId="164" fontId="0" fillId="0" borderId="8" xfId="2" applyNumberFormat="1" applyFont="1" applyFill="1" applyBorder="1"/>
    <xf numFmtId="43" fontId="3" fillId="0" borderId="5" xfId="2" applyFont="1" applyBorder="1"/>
    <xf numFmtId="43" fontId="3" fillId="0" borderId="14" xfId="2" applyFont="1" applyBorder="1"/>
    <xf numFmtId="43" fontId="3" fillId="0" borderId="13" xfId="2" applyFont="1" applyBorder="1"/>
    <xf numFmtId="164" fontId="33" fillId="0" borderId="13" xfId="2" applyNumberFormat="1" applyFont="1" applyBorder="1"/>
    <xf numFmtId="164" fontId="29" fillId="0" borderId="13" xfId="2" applyNumberFormat="1" applyFont="1" applyBorder="1"/>
    <xf numFmtId="164" fontId="31" fillId="0" borderId="8" xfId="2" applyNumberFormat="1" applyFont="1" applyBorder="1"/>
    <xf numFmtId="43" fontId="28" fillId="8" borderId="5" xfId="2" applyFont="1" applyFill="1" applyBorder="1"/>
    <xf numFmtId="43" fontId="28" fillId="0" borderId="5" xfId="2" applyFont="1" applyBorder="1"/>
    <xf numFmtId="164" fontId="29" fillId="0" borderId="8" xfId="2" applyNumberFormat="1" applyFont="1" applyBorder="1"/>
    <xf numFmtId="43" fontId="9" fillId="2" borderId="15" xfId="2" applyNumberFormat="1" applyFont="1" applyFill="1" applyBorder="1" applyAlignment="1">
      <alignment horizontal="center"/>
    </xf>
    <xf numFmtId="164" fontId="20" fillId="16" borderId="0" xfId="2" applyNumberFormat="1" applyFont="1" applyFill="1" applyAlignment="1">
      <alignment horizontal="center"/>
    </xf>
    <xf numFmtId="164" fontId="19" fillId="16" borderId="0" xfId="2" applyNumberFormat="1" applyFont="1" applyFill="1" applyAlignment="1">
      <alignment horizontal="center"/>
    </xf>
    <xf numFmtId="43" fontId="20" fillId="0" borderId="0" xfId="2" applyNumberFormat="1" applyFont="1" applyAlignment="1">
      <alignment horizontal="center"/>
    </xf>
    <xf numFmtId="0" fontId="9" fillId="0" borderId="0" xfId="0" applyFont="1" applyFill="1" applyBorder="1" applyAlignment="1">
      <alignment wrapText="1"/>
    </xf>
    <xf numFmtId="164" fontId="9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11" fillId="0" borderId="8" xfId="0" applyFont="1" applyBorder="1" applyAlignment="1">
      <alignment wrapText="1"/>
    </xf>
    <xf numFmtId="164" fontId="35" fillId="0" borderId="0" xfId="2" applyNumberFormat="1" applyFont="1" applyAlignment="1">
      <alignment horizontal="center"/>
    </xf>
    <xf numFmtId="164" fontId="1" fillId="0" borderId="8" xfId="2" applyNumberFormat="1" applyFont="1" applyBorder="1" applyAlignment="1">
      <alignment horizontal="center"/>
    </xf>
    <xf numFmtId="0" fontId="1" fillId="0" borderId="0" xfId="0" applyFont="1"/>
    <xf numFmtId="164" fontId="1" fillId="0" borderId="22" xfId="2" applyNumberFormat="1" applyFont="1" applyBorder="1" applyAlignment="1">
      <alignment horizontal="center"/>
    </xf>
    <xf numFmtId="0" fontId="36" fillId="0" borderId="8" xfId="1" applyFont="1" applyFill="1" applyBorder="1"/>
    <xf numFmtId="43" fontId="36" fillId="0" borderId="8" xfId="2" applyFont="1" applyBorder="1"/>
    <xf numFmtId="164" fontId="37" fillId="0" borderId="8" xfId="2" applyNumberFormat="1" applyFont="1" applyBorder="1" applyAlignment="1">
      <alignment horizontal="center"/>
    </xf>
    <xf numFmtId="0" fontId="36" fillId="0" borderId="22" xfId="1" applyFont="1" applyFill="1" applyBorder="1"/>
    <xf numFmtId="164" fontId="36" fillId="0" borderId="8" xfId="2" applyNumberFormat="1" applyFont="1" applyBorder="1"/>
    <xf numFmtId="43" fontId="19" fillId="0" borderId="0" xfId="2" applyNumberFormat="1" applyFont="1" applyAlignment="1">
      <alignment horizontal="center"/>
    </xf>
    <xf numFmtId="164" fontId="1" fillId="0" borderId="0" xfId="2" applyNumberFormat="1" applyFont="1" applyAlignment="1">
      <alignment horizontal="right"/>
    </xf>
    <xf numFmtId="0" fontId="36" fillId="0" borderId="0" xfId="1" applyFont="1" applyFill="1" applyBorder="1"/>
    <xf numFmtId="164" fontId="1" fillId="0" borderId="0" xfId="2" applyNumberFormat="1" applyFont="1" applyBorder="1" applyAlignment="1">
      <alignment horizontal="center"/>
    </xf>
    <xf numFmtId="43" fontId="36" fillId="0" borderId="0" xfId="2" applyFont="1" applyBorder="1"/>
    <xf numFmtId="164" fontId="37" fillId="0" borderId="0" xfId="2" applyNumberFormat="1" applyFont="1" applyBorder="1" applyAlignment="1">
      <alignment horizontal="center"/>
    </xf>
    <xf numFmtId="164" fontId="38" fillId="0" borderId="0" xfId="2" applyNumberFormat="1" applyFont="1" applyBorder="1"/>
    <xf numFmtId="0" fontId="39" fillId="0" borderId="0" xfId="1" applyFont="1" applyFill="1" applyBorder="1"/>
    <xf numFmtId="164" fontId="40" fillId="0" borderId="0" xfId="2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5" borderId="2" xfId="0" applyFont="1" applyFill="1" applyBorder="1"/>
    <xf numFmtId="0" fontId="17" fillId="15" borderId="16" xfId="0" applyFont="1" applyFill="1" applyBorder="1"/>
    <xf numFmtId="0" fontId="17" fillId="15" borderId="17" xfId="0" applyFont="1" applyFill="1" applyBorder="1"/>
    <xf numFmtId="0" fontId="15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9" fillId="0" borderId="19" xfId="0" applyFont="1" applyBorder="1"/>
    <xf numFmtId="0" fontId="11" fillId="0" borderId="18" xfId="0" applyFont="1" applyBorder="1"/>
    <xf numFmtId="0" fontId="11" fillId="0" borderId="21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164" fontId="5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12" borderId="3" xfId="2" applyNumberFormat="1" applyFont="1" applyFill="1" applyBorder="1" applyAlignment="1">
      <alignment horizontal="center" vertical="center" wrapText="1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 vertical="center"/>
    </xf>
    <xf numFmtId="164" fontId="9" fillId="5" borderId="5" xfId="2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9" fillId="7" borderId="3" xfId="2" applyNumberFormat="1" applyFont="1" applyFill="1" applyBorder="1" applyAlignment="1">
      <alignment horizontal="center" vertical="center"/>
    </xf>
    <xf numFmtId="164" fontId="9" fillId="7" borderId="5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selection activeCell="Z20" sqref="Z20:Z21"/>
    </sheetView>
  </sheetViews>
  <sheetFormatPr defaultRowHeight="15" x14ac:dyDescent="0.2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 x14ac:dyDescent="0.25"/>
    <row r="2" spans="1:23" ht="21" customHeight="1" x14ac:dyDescent="0.25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 x14ac:dyDescent="0.3">
      <c r="A3" s="332" t="s">
        <v>1</v>
      </c>
      <c r="B3" s="333"/>
      <c r="C3" s="333"/>
      <c r="D3" s="333"/>
      <c r="E3" s="334"/>
      <c r="F3" s="323" t="s">
        <v>2</v>
      </c>
      <c r="G3" s="323" t="s">
        <v>2</v>
      </c>
      <c r="H3" s="10" t="s">
        <v>3</v>
      </c>
      <c r="I3" s="336" t="s">
        <v>4</v>
      </c>
      <c r="J3" s="336" t="s">
        <v>5</v>
      </c>
      <c r="K3" s="336" t="s">
        <v>6</v>
      </c>
      <c r="L3" s="336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23" t="s">
        <v>10</v>
      </c>
      <c r="V3" s="323" t="s">
        <v>11</v>
      </c>
      <c r="W3" s="325" t="s">
        <v>12</v>
      </c>
    </row>
    <row r="4" spans="1:23" ht="0.75" customHeight="1" x14ac:dyDescent="0.25">
      <c r="A4" s="13"/>
      <c r="B4" s="14"/>
      <c r="C4" s="14"/>
      <c r="D4" s="14"/>
      <c r="E4" s="14"/>
      <c r="F4" s="335"/>
      <c r="G4" s="335"/>
      <c r="H4" s="15" t="s">
        <v>13</v>
      </c>
      <c r="I4" s="337"/>
      <c r="J4" s="337"/>
      <c r="K4" s="337"/>
      <c r="L4" s="337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35"/>
      <c r="V4" s="324"/>
      <c r="W4" s="326"/>
    </row>
    <row r="5" spans="1:23" ht="15.75" x14ac:dyDescent="0.2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 x14ac:dyDescent="0.2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 x14ac:dyDescent="0.2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 x14ac:dyDescent="0.2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 x14ac:dyDescent="0.2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 x14ac:dyDescent="0.25">
      <c r="A10" s="327" t="s">
        <v>25</v>
      </c>
      <c r="B10" s="328"/>
      <c r="C10" s="328"/>
      <c r="D10" s="328"/>
      <c r="E10" s="329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 x14ac:dyDescent="0.3">
      <c r="A11" s="330" t="s">
        <v>26</v>
      </c>
      <c r="B11" s="331"/>
      <c r="C11" s="331"/>
      <c r="D11" s="331"/>
      <c r="E11" s="331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 x14ac:dyDescent="0.2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 t="e">
        <f>'общехоз расходы'!#REF!</f>
        <v>#REF!</v>
      </c>
      <c r="J12" s="73" t="e">
        <f>'общехоз расходы'!#REF!</f>
        <v>#REF!</v>
      </c>
      <c r="K12" s="73" t="e">
        <f>'общехоз расходы'!#REF!</f>
        <v>#REF!</v>
      </c>
      <c r="L12" s="73" t="e">
        <f>'общехоз расходы'!#REF!</f>
        <v>#REF!</v>
      </c>
      <c r="M12" s="73" t="e">
        <f>'общехоз расходы'!#REF!</f>
        <v>#REF!</v>
      </c>
      <c r="N12" s="73" t="e">
        <f>'общехоз расходы'!#REF!</f>
        <v>#REF!</v>
      </c>
      <c r="O12" s="27"/>
      <c r="P12" s="27"/>
      <c r="Q12" s="27"/>
      <c r="R12" s="27"/>
      <c r="S12" s="28"/>
      <c r="T12" s="28"/>
      <c r="U12" s="29" t="e">
        <f t="shared" si="0"/>
        <v>#REF!</v>
      </c>
      <c r="V12" s="30">
        <f t="shared" ref="V12:V31" si="3">G12*6</f>
        <v>450000</v>
      </c>
      <c r="W12" s="74" t="e">
        <f t="shared" ref="W12:W31" si="4">V12-U12</f>
        <v>#REF!</v>
      </c>
    </row>
    <row r="13" spans="1:23" ht="15.75" x14ac:dyDescent="0.2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>'программ обеспечение'!B10</f>
        <v>0</v>
      </c>
      <c r="J13" s="76">
        <f>'программ обеспечение'!C10</f>
        <v>0</v>
      </c>
      <c r="K13" s="76">
        <f>'программ обеспечение'!D10</f>
        <v>13116</v>
      </c>
      <c r="L13" s="76">
        <f>'программ обеспечение'!E10</f>
        <v>0</v>
      </c>
      <c r="M13" s="76">
        <f>'программ обеспечение'!F10</f>
        <v>0</v>
      </c>
      <c r="N13" s="76">
        <f>'программ обеспечение'!G10</f>
        <v>0</v>
      </c>
      <c r="O13" s="60"/>
      <c r="P13" s="60"/>
      <c r="Q13" s="60"/>
      <c r="R13" s="60"/>
      <c r="S13" s="61"/>
      <c r="T13" s="61"/>
      <c r="U13" s="29">
        <f t="shared" si="0"/>
        <v>13116</v>
      </c>
      <c r="V13" s="30">
        <f t="shared" si="3"/>
        <v>80000</v>
      </c>
      <c r="W13" s="74">
        <f t="shared" si="4"/>
        <v>66884</v>
      </c>
    </row>
    <row r="14" spans="1:23" ht="15.75" x14ac:dyDescent="0.2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>'услуги связи'!B8</f>
        <v>6700</v>
      </c>
      <c r="J14" s="73">
        <f>'услуги связи'!C8</f>
        <v>6700</v>
      </c>
      <c r="K14" s="73">
        <f>'услуги связи'!D8</f>
        <v>18679.05</v>
      </c>
      <c r="L14" s="73">
        <f>'услуги связи'!E8</f>
        <v>0</v>
      </c>
      <c r="M14" s="73">
        <f>'услуги связи'!F8</f>
        <v>0</v>
      </c>
      <c r="N14" s="73">
        <f>'услуги связи'!G8</f>
        <v>0</v>
      </c>
      <c r="O14" s="27"/>
      <c r="P14" s="27"/>
      <c r="Q14" s="27"/>
      <c r="R14" s="27"/>
      <c r="S14" s="28"/>
      <c r="T14" s="28"/>
      <c r="U14" s="29">
        <f t="shared" si="0"/>
        <v>32079.05</v>
      </c>
      <c r="V14" s="30">
        <f t="shared" si="3"/>
        <v>70000</v>
      </c>
      <c r="W14" s="74">
        <f t="shared" si="4"/>
        <v>37920.949999999997</v>
      </c>
    </row>
    <row r="15" spans="1:23" ht="15.75" x14ac:dyDescent="0.2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>#REF!</f>
        <v>#REF!</v>
      </c>
      <c r="J15" s="76" t="e">
        <f>#REF!</f>
        <v>#REF!</v>
      </c>
      <c r="K15" s="76" t="e">
        <f>#REF!</f>
        <v>#REF!</v>
      </c>
      <c r="L15" s="76" t="e">
        <f>#REF!</f>
        <v>#REF!</v>
      </c>
      <c r="M15" s="76">
        <f>'программ обеспечение'!F12</f>
        <v>0</v>
      </c>
      <c r="N15" s="76">
        <f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 x14ac:dyDescent="0.2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>'з пл'!B6</f>
        <v>657200.37999999989</v>
      </c>
      <c r="J16" s="76">
        <f>'з пл'!C6</f>
        <v>730270.34</v>
      </c>
      <c r="K16" s="76">
        <f>'з пл'!D6</f>
        <v>689056.02</v>
      </c>
      <c r="L16" s="76">
        <f>'з пл'!E6</f>
        <v>0</v>
      </c>
      <c r="M16" s="76">
        <f>'з пл'!F6</f>
        <v>0</v>
      </c>
      <c r="N16" s="76">
        <f>'з пл'!G6</f>
        <v>0</v>
      </c>
      <c r="O16" s="60"/>
      <c r="P16" s="60"/>
      <c r="Q16" s="60"/>
      <c r="R16" s="60"/>
      <c r="S16" s="61"/>
      <c r="T16" s="61"/>
      <c r="U16" s="29">
        <f t="shared" si="0"/>
        <v>2076526.7399999998</v>
      </c>
      <c r="V16" s="30">
        <f t="shared" si="3"/>
        <v>3945000</v>
      </c>
      <c r="W16" s="74">
        <f t="shared" si="4"/>
        <v>1868473.2600000002</v>
      </c>
    </row>
    <row r="17" spans="1:24" ht="15.75" x14ac:dyDescent="0.2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>'премиальный фонд'!B5</f>
        <v>0</v>
      </c>
      <c r="J17" s="76">
        <f>'премиальный фонд'!C5</f>
        <v>0</v>
      </c>
      <c r="K17" s="76">
        <f>'премиальный фонд'!D5</f>
        <v>0</v>
      </c>
      <c r="L17" s="76">
        <f>'премиальный фонд'!E5</f>
        <v>0</v>
      </c>
      <c r="M17" s="76">
        <f>'премиальный фонд'!F5</f>
        <v>0</v>
      </c>
      <c r="N17" s="76">
        <f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 x14ac:dyDescent="0.2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>'налог с ФОТ'!B6</f>
        <v>310824.7</v>
      </c>
      <c r="J18" s="76">
        <f>'налог с ФОТ'!C6</f>
        <v>178176.03</v>
      </c>
      <c r="K18" s="76">
        <f>'налог с ФОТ'!D6</f>
        <v>179924.91</v>
      </c>
      <c r="L18" s="76">
        <f>'налог с ФОТ'!E6</f>
        <v>0</v>
      </c>
      <c r="M18" s="76">
        <f>'налог с ФОТ'!F6</f>
        <v>0</v>
      </c>
      <c r="N18" s="76">
        <f>'налог с ФОТ'!G6</f>
        <v>0</v>
      </c>
      <c r="O18" s="60"/>
      <c r="P18" s="60"/>
      <c r="Q18" s="60"/>
      <c r="R18" s="60"/>
      <c r="S18" s="61"/>
      <c r="T18" s="61"/>
      <c r="U18" s="29">
        <f t="shared" si="0"/>
        <v>668925.64</v>
      </c>
      <c r="V18" s="30">
        <f t="shared" si="3"/>
        <v>1258500</v>
      </c>
      <c r="W18" s="74">
        <f t="shared" si="4"/>
        <v>589574.36</v>
      </c>
    </row>
    <row r="19" spans="1:24" ht="15.75" x14ac:dyDescent="0.2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>инвентарь!B27</f>
        <v>8650</v>
      </c>
      <c r="J19" s="76">
        <f>инвентарь!C27</f>
        <v>14935</v>
      </c>
      <c r="K19" s="76">
        <f>инвентарь!D27</f>
        <v>22370</v>
      </c>
      <c r="L19" s="76">
        <f>инвентарь!E27</f>
        <v>0</v>
      </c>
      <c r="M19" s="76">
        <f>инвентарь!F27</f>
        <v>0</v>
      </c>
      <c r="N19" s="76">
        <f>инвентарь!G27</f>
        <v>0</v>
      </c>
      <c r="O19" s="60"/>
      <c r="P19" s="60"/>
      <c r="Q19" s="60"/>
      <c r="R19" s="60"/>
      <c r="S19" s="61"/>
      <c r="T19" s="61"/>
      <c r="U19" s="29">
        <f t="shared" si="0"/>
        <v>45955</v>
      </c>
      <c r="V19" s="30">
        <f t="shared" si="3"/>
        <v>100000</v>
      </c>
      <c r="W19" s="74">
        <f t="shared" si="4"/>
        <v>54045</v>
      </c>
    </row>
    <row r="20" spans="1:24" ht="15.75" x14ac:dyDescent="0.2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>мусор!B10</f>
        <v>454017.63</v>
      </c>
      <c r="J20" s="73">
        <f>мусор!C10</f>
        <v>501017.63</v>
      </c>
      <c r="K20" s="73">
        <f>мусор!D10</f>
        <v>421017.63</v>
      </c>
      <c r="L20" s="73">
        <f>мусор!E10</f>
        <v>0</v>
      </c>
      <c r="M20" s="73">
        <f>мусор!F10</f>
        <v>0</v>
      </c>
      <c r="N20" s="73">
        <f>мусор!G10</f>
        <v>0</v>
      </c>
      <c r="O20" s="27"/>
      <c r="P20" s="27"/>
      <c r="Q20" s="27"/>
      <c r="R20" s="27"/>
      <c r="S20" s="28"/>
      <c r="T20" s="28"/>
      <c r="U20" s="29">
        <f t="shared" si="0"/>
        <v>1376052.8900000001</v>
      </c>
      <c r="V20" s="30">
        <f t="shared" si="3"/>
        <v>975000</v>
      </c>
      <c r="W20" s="74">
        <f t="shared" si="4"/>
        <v>-401052.89000000013</v>
      </c>
    </row>
    <row r="21" spans="1:24" ht="15.75" x14ac:dyDescent="0.2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 t="e">
        <f>#REF!</f>
        <v>#REF!</v>
      </c>
      <c r="J21" s="73" t="e">
        <f>#REF!</f>
        <v>#REF!</v>
      </c>
      <c r="K21" s="73" t="e">
        <f>#REF!</f>
        <v>#REF!</v>
      </c>
      <c r="L21" s="73" t="e">
        <f>#REF!</f>
        <v>#REF!</v>
      </c>
      <c r="M21" s="73" t="e">
        <f>#REF!</f>
        <v>#REF!</v>
      </c>
      <c r="N21" s="73" t="e">
        <f>#REF!</f>
        <v>#REF!</v>
      </c>
      <c r="O21" s="27"/>
      <c r="P21" s="27"/>
      <c r="Q21" s="27"/>
      <c r="R21" s="27"/>
      <c r="S21" s="28"/>
      <c r="T21" s="28"/>
      <c r="U21" s="29" t="e">
        <f t="shared" si="0"/>
        <v>#REF!</v>
      </c>
      <c r="V21" s="30">
        <f t="shared" si="3"/>
        <v>3700000</v>
      </c>
      <c r="W21" s="74" t="e">
        <f t="shared" si="4"/>
        <v>#REF!</v>
      </c>
    </row>
    <row r="22" spans="1:24" ht="15.75" x14ac:dyDescent="0.2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>газ!B6</f>
        <v>0</v>
      </c>
      <c r="J22" s="76">
        <f>газ!C6</f>
        <v>0</v>
      </c>
      <c r="K22" s="76">
        <f>газ!D6</f>
        <v>0</v>
      </c>
      <c r="L22" s="76">
        <f>газ!E6</f>
        <v>0</v>
      </c>
      <c r="M22" s="76">
        <f>газ!F6</f>
        <v>0</v>
      </c>
      <c r="N22" s="76">
        <f>газ!G6</f>
        <v>0</v>
      </c>
      <c r="O22" s="60"/>
      <c r="P22" s="60"/>
      <c r="Q22" s="60"/>
      <c r="R22" s="60"/>
      <c r="S22" s="61"/>
      <c r="T22" s="61"/>
      <c r="U22" s="29">
        <f t="shared" si="0"/>
        <v>0</v>
      </c>
      <c r="V22" s="30">
        <f t="shared" si="3"/>
        <v>115000</v>
      </c>
      <c r="W22" s="74">
        <f t="shared" si="4"/>
        <v>115000</v>
      </c>
    </row>
    <row r="23" spans="1:24" ht="15.75" x14ac:dyDescent="0.2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>вода!B30</f>
        <v>0</v>
      </c>
      <c r="J23" s="73">
        <f>вода!C30</f>
        <v>74532</v>
      </c>
      <c r="K23" s="73">
        <f>вода!D30</f>
        <v>12485</v>
      </c>
      <c r="L23" s="73">
        <f>вода!E30</f>
        <v>0</v>
      </c>
      <c r="M23" s="73">
        <f>вода!F30</f>
        <v>0</v>
      </c>
      <c r="N23" s="73">
        <f>вода!G30</f>
        <v>0</v>
      </c>
      <c r="O23" s="27"/>
      <c r="P23" s="27"/>
      <c r="Q23" s="27"/>
      <c r="R23" s="27"/>
      <c r="S23" s="28"/>
      <c r="T23" s="28"/>
      <c r="U23" s="29">
        <f t="shared" si="0"/>
        <v>87017</v>
      </c>
      <c r="V23" s="30">
        <f t="shared" si="3"/>
        <v>620000</v>
      </c>
      <c r="W23" s="74">
        <f t="shared" si="4"/>
        <v>532983</v>
      </c>
    </row>
    <row r="24" spans="1:24" ht="15.75" x14ac:dyDescent="0.2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 x14ac:dyDescent="0.2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 x14ac:dyDescent="0.2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>электроснабжение!B48</f>
        <v>224752.22</v>
      </c>
      <c r="J26" s="73">
        <f>электроснабжение!C48</f>
        <v>152716.35</v>
      </c>
      <c r="K26" s="73">
        <f>электроснабжение!D48</f>
        <v>126170.64</v>
      </c>
      <c r="L26" s="73">
        <f>электроснабжение!E48</f>
        <v>0</v>
      </c>
      <c r="M26" s="73">
        <f>электроснабжение!F48</f>
        <v>0</v>
      </c>
      <c r="N26" s="73">
        <f>электроснабжение!G48</f>
        <v>0</v>
      </c>
      <c r="O26" s="27"/>
      <c r="P26" s="27"/>
      <c r="Q26" s="27"/>
      <c r="R26" s="27"/>
      <c r="S26" s="28"/>
      <c r="T26" s="28"/>
      <c r="U26" s="29">
        <f t="shared" si="0"/>
        <v>503639.21</v>
      </c>
      <c r="V26" s="30">
        <f t="shared" si="3"/>
        <v>900000</v>
      </c>
      <c r="W26" s="74">
        <f t="shared" si="4"/>
        <v>396360.79</v>
      </c>
    </row>
    <row r="27" spans="1:24" ht="15.75" x14ac:dyDescent="0.2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 x14ac:dyDescent="0.2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>'сод дор и терр'!B38</f>
        <v>13132</v>
      </c>
      <c r="J28" s="73">
        <f>'сод дор и терр'!C38</f>
        <v>38440</v>
      </c>
      <c r="K28" s="73">
        <f>'сод дор и терр'!D38</f>
        <v>19104</v>
      </c>
      <c r="L28" s="73">
        <f>'сод дор и терр'!E38</f>
        <v>0</v>
      </c>
      <c r="M28" s="73">
        <f>'сод дор и терр'!F38</f>
        <v>0</v>
      </c>
      <c r="N28" s="73">
        <f>'сод дор и терр'!G38</f>
        <v>0</v>
      </c>
      <c r="O28" s="27"/>
      <c r="P28" s="27"/>
      <c r="Q28" s="27"/>
      <c r="R28" s="27"/>
      <c r="S28" s="28"/>
      <c r="T28" s="28"/>
      <c r="U28" s="29">
        <f t="shared" si="0"/>
        <v>70676</v>
      </c>
      <c r="V28" s="30">
        <f t="shared" si="3"/>
        <v>300000</v>
      </c>
      <c r="W28" s="74">
        <f t="shared" si="4"/>
        <v>229324</v>
      </c>
    </row>
    <row r="29" spans="1:24" ht="15.75" x14ac:dyDescent="0.2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>благоустройство!B34</f>
        <v>77294</v>
      </c>
      <c r="J29" s="73">
        <f>благоустройство!C34</f>
        <v>44149.599999999999</v>
      </c>
      <c r="K29" s="73">
        <f>благоустройство!D34</f>
        <v>26493.96</v>
      </c>
      <c r="L29" s="73">
        <f>благоустройство!E34</f>
        <v>0</v>
      </c>
      <c r="M29" s="73">
        <f>благоустройство!F34</f>
        <v>0</v>
      </c>
      <c r="N29" s="73">
        <f>благоустройство!G34</f>
        <v>0</v>
      </c>
      <c r="O29" s="27"/>
      <c r="P29" s="27"/>
      <c r="Q29" s="27"/>
      <c r="R29" s="27"/>
      <c r="S29" s="28"/>
      <c r="T29" s="28"/>
      <c r="U29" s="29">
        <f t="shared" si="0"/>
        <v>147937.56</v>
      </c>
      <c r="V29" s="30">
        <f t="shared" si="3"/>
        <v>125000</v>
      </c>
      <c r="W29" s="74">
        <f t="shared" si="4"/>
        <v>-22937.559999999998</v>
      </c>
    </row>
    <row r="30" spans="1:24" ht="15.75" x14ac:dyDescent="0.2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 x14ac:dyDescent="0.2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>'резервный фонд'!B66</f>
        <v>0</v>
      </c>
      <c r="J31" s="83">
        <f>'резервный фонд'!C66</f>
        <v>331597.45999999996</v>
      </c>
      <c r="K31" s="83">
        <f>'резервный фонд'!D66</f>
        <v>151220</v>
      </c>
      <c r="L31" s="83">
        <f>'резервный фонд'!E66</f>
        <v>0</v>
      </c>
      <c r="M31" s="83">
        <f>'резервный фонд'!F66</f>
        <v>0</v>
      </c>
      <c r="N31" s="83">
        <f>'резервный фонд'!G66</f>
        <v>0</v>
      </c>
      <c r="O31" s="51"/>
      <c r="P31" s="51"/>
      <c r="Q31" s="51"/>
      <c r="R31" s="51"/>
      <c r="S31" s="84"/>
      <c r="T31" s="84"/>
      <c r="U31" s="53">
        <f t="shared" si="0"/>
        <v>482817.45999999996</v>
      </c>
      <c r="V31" s="30">
        <f t="shared" si="3"/>
        <v>736900</v>
      </c>
      <c r="W31" s="85">
        <f t="shared" si="4"/>
        <v>254082.54000000004</v>
      </c>
      <c r="X31" s="86"/>
    </row>
    <row r="32" spans="1:24" ht="15.75" x14ac:dyDescent="0.25">
      <c r="A32" s="347" t="s">
        <v>48</v>
      </c>
      <c r="B32" s="348"/>
      <c r="C32" s="348"/>
      <c r="D32" s="348"/>
      <c r="E32" s="349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 x14ac:dyDescent="0.25">
      <c r="A34" s="350" t="s">
        <v>49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91"/>
      <c r="W34" s="91"/>
    </row>
    <row r="35" spans="1:23" x14ac:dyDescent="0.25">
      <c r="A35" s="351" t="s">
        <v>50</v>
      </c>
      <c r="B35" s="352"/>
      <c r="C35" s="352"/>
      <c r="D35" s="352"/>
      <c r="E35" s="352"/>
      <c r="F35" s="353"/>
      <c r="G35" s="353"/>
      <c r="H35" s="352"/>
      <c r="I35" s="353"/>
      <c r="J35" s="353"/>
      <c r="K35" s="353"/>
      <c r="L35" s="352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 x14ac:dyDescent="0.25">
      <c r="A36" s="338" t="s">
        <v>51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40"/>
      <c r="V36" s="91"/>
      <c r="W36" s="91"/>
    </row>
    <row r="37" spans="1:23" x14ac:dyDescent="0.25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 x14ac:dyDescent="0.25">
      <c r="A38" s="341"/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3"/>
      <c r="V38" s="91"/>
      <c r="W38" s="91"/>
    </row>
    <row r="39" spans="1:23" x14ac:dyDescent="0.25">
      <c r="A39" s="344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6"/>
      <c r="V39" s="91"/>
      <c r="W39" s="91"/>
    </row>
    <row r="40" spans="1:23" x14ac:dyDescent="0.25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 x14ac:dyDescent="0.25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 x14ac:dyDescent="0.25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 x14ac:dyDescent="0.25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 x14ac:dyDescent="0.25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 x14ac:dyDescent="0.25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 x14ac:dyDescent="0.25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 x14ac:dyDescent="0.25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 x14ac:dyDescent="0.25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 x14ac:dyDescent="0.25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 x14ac:dyDescent="0.25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 x14ac:dyDescent="0.25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 x14ac:dyDescent="0.25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 x14ac:dyDescent="0.25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 x14ac:dyDescent="0.25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 x14ac:dyDescent="0.25">
      <c r="I55" s="91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22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29"/>
  <sheetViews>
    <sheetView workbookViewId="0">
      <selection activeCell="A10" sqref="A10"/>
    </sheetView>
  </sheetViews>
  <sheetFormatPr defaultRowHeight="15" x14ac:dyDescent="0.2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28515625" style="1" bestFit="1" customWidth="1"/>
    <col min="9" max="9" width="8" style="1" customWidth="1"/>
    <col min="10" max="13" width="9.28515625" style="1" bestFit="1" customWidth="1"/>
    <col min="14" max="14" width="11.85546875" style="1" bestFit="1" customWidth="1"/>
  </cols>
  <sheetData>
    <row r="1" spans="1:14" x14ac:dyDescent="0.25">
      <c r="A1" s="235" t="s">
        <v>119</v>
      </c>
      <c r="B1" s="209"/>
      <c r="C1" s="209"/>
      <c r="D1" s="209"/>
      <c r="E1" s="209"/>
      <c r="F1" s="210"/>
      <c r="G1" s="210" t="str">
        <f>'ВСЕ затраты'!B1</f>
        <v>2023-2024гг.</v>
      </c>
      <c r="H1" s="210"/>
      <c r="I1" s="210"/>
      <c r="J1" s="210"/>
      <c r="K1" s="209"/>
      <c r="L1" s="209"/>
      <c r="M1" s="209"/>
      <c r="N1" s="214"/>
    </row>
    <row r="2" spans="1:14" x14ac:dyDescent="0.25">
      <c r="A2" s="236"/>
      <c r="B2" s="213" t="s">
        <v>4</v>
      </c>
      <c r="C2" s="213" t="s">
        <v>5</v>
      </c>
      <c r="D2" s="213" t="s">
        <v>6</v>
      </c>
      <c r="E2" s="215" t="s">
        <v>7</v>
      </c>
      <c r="F2" s="213" t="s">
        <v>8</v>
      </c>
      <c r="G2" s="215" t="s">
        <v>9</v>
      </c>
      <c r="H2" s="213" t="s">
        <v>14</v>
      </c>
      <c r="I2" s="215" t="s">
        <v>15</v>
      </c>
      <c r="J2" s="213" t="s">
        <v>16</v>
      </c>
      <c r="K2" s="213" t="s">
        <v>17</v>
      </c>
      <c r="L2" s="213" t="s">
        <v>18</v>
      </c>
      <c r="M2" s="213" t="s">
        <v>19</v>
      </c>
      <c r="N2" s="213" t="s">
        <v>120</v>
      </c>
    </row>
    <row r="3" spans="1:14" x14ac:dyDescent="0.25">
      <c r="A3" s="231" t="s">
        <v>159</v>
      </c>
      <c r="B3" s="264">
        <v>3450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>
        <f t="shared" ref="N3:N9" si="0">SUM(B3:M3)</f>
        <v>3450</v>
      </c>
    </row>
    <row r="4" spans="1:14" x14ac:dyDescent="0.25">
      <c r="A4" s="231" t="s">
        <v>168</v>
      </c>
      <c r="B4" s="264">
        <v>5200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>
        <f t="shared" si="0"/>
        <v>5200</v>
      </c>
    </row>
    <row r="5" spans="1:14" x14ac:dyDescent="0.25">
      <c r="A5" s="246" t="s">
        <v>195</v>
      </c>
      <c r="B5" s="264"/>
      <c r="C5" s="264">
        <v>13990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>
        <f t="shared" si="0"/>
        <v>13990</v>
      </c>
    </row>
    <row r="6" spans="1:14" x14ac:dyDescent="0.25">
      <c r="A6" s="231" t="s">
        <v>196</v>
      </c>
      <c r="B6" s="264"/>
      <c r="C6" s="264">
        <v>685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>
        <f t="shared" si="0"/>
        <v>685</v>
      </c>
    </row>
    <row r="7" spans="1:14" x14ac:dyDescent="0.25">
      <c r="A7" s="246" t="s">
        <v>197</v>
      </c>
      <c r="B7" s="264"/>
      <c r="C7" s="264">
        <v>260</v>
      </c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>
        <f t="shared" si="0"/>
        <v>260</v>
      </c>
    </row>
    <row r="8" spans="1:14" x14ac:dyDescent="0.25">
      <c r="A8" s="246" t="s">
        <v>218</v>
      </c>
      <c r="B8" s="264"/>
      <c r="C8" s="264"/>
      <c r="D8" s="264">
        <v>11580</v>
      </c>
      <c r="E8" s="270"/>
      <c r="F8" s="270"/>
      <c r="G8" s="270"/>
      <c r="H8" s="266"/>
      <c r="I8" s="270"/>
      <c r="J8" s="266"/>
      <c r="K8" s="266"/>
      <c r="L8" s="266"/>
      <c r="M8" s="266"/>
      <c r="N8" s="264">
        <f t="shared" si="0"/>
        <v>11580</v>
      </c>
    </row>
    <row r="9" spans="1:14" x14ac:dyDescent="0.25">
      <c r="A9" s="253" t="s">
        <v>219</v>
      </c>
      <c r="B9" s="264"/>
      <c r="C9" s="266"/>
      <c r="D9" s="266">
        <v>10790</v>
      </c>
      <c r="E9" s="270"/>
      <c r="F9" s="270"/>
      <c r="G9" s="270"/>
      <c r="H9" s="266"/>
      <c r="I9" s="270"/>
      <c r="J9" s="266"/>
      <c r="K9" s="266"/>
      <c r="L9" s="266"/>
      <c r="M9" s="266"/>
      <c r="N9" s="264">
        <f t="shared" si="0"/>
        <v>10790</v>
      </c>
    </row>
    <row r="10" spans="1:14" x14ac:dyDescent="0.25">
      <c r="A10" s="253"/>
      <c r="B10" s="266"/>
      <c r="C10" s="266"/>
      <c r="D10" s="266"/>
      <c r="E10" s="270"/>
      <c r="F10" s="270"/>
      <c r="G10" s="270"/>
      <c r="H10" s="266"/>
      <c r="I10" s="270"/>
      <c r="J10" s="266"/>
      <c r="K10" s="266"/>
      <c r="L10" s="266"/>
      <c r="M10" s="266"/>
      <c r="N10" s="266">
        <f t="shared" ref="N10:N26" si="1">SUM(B10:M10)</f>
        <v>0</v>
      </c>
    </row>
    <row r="11" spans="1:14" x14ac:dyDescent="0.25">
      <c r="A11" s="231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6">
        <f t="shared" si="1"/>
        <v>0</v>
      </c>
    </row>
    <row r="12" spans="1:14" x14ac:dyDescent="0.25">
      <c r="A12" s="231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6"/>
      <c r="N12" s="266">
        <f t="shared" si="1"/>
        <v>0</v>
      </c>
    </row>
    <row r="13" spans="1:14" x14ac:dyDescent="0.25">
      <c r="A13" s="231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6"/>
      <c r="N13" s="266">
        <f t="shared" si="1"/>
        <v>0</v>
      </c>
    </row>
    <row r="14" spans="1:14" x14ac:dyDescent="0.25">
      <c r="A14" s="231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6"/>
      <c r="N14" s="264">
        <f t="shared" si="1"/>
        <v>0</v>
      </c>
    </row>
    <row r="15" spans="1:14" x14ac:dyDescent="0.25">
      <c r="A15" s="231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6"/>
      <c r="N15" s="264">
        <f t="shared" si="1"/>
        <v>0</v>
      </c>
    </row>
    <row r="16" spans="1:14" x14ac:dyDescent="0.25">
      <c r="A16" s="231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6"/>
      <c r="N16" s="264">
        <f t="shared" si="1"/>
        <v>0</v>
      </c>
    </row>
    <row r="17" spans="1:14" x14ac:dyDescent="0.25">
      <c r="A17" s="231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6"/>
      <c r="N17" s="264">
        <f t="shared" si="1"/>
        <v>0</v>
      </c>
    </row>
    <row r="18" spans="1:14" x14ac:dyDescent="0.25">
      <c r="A18" s="231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6"/>
      <c r="N18" s="264">
        <f t="shared" si="1"/>
        <v>0</v>
      </c>
    </row>
    <row r="19" spans="1:14" x14ac:dyDescent="0.25">
      <c r="A19" s="231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6"/>
      <c r="N19" s="264">
        <f t="shared" si="1"/>
        <v>0</v>
      </c>
    </row>
    <row r="20" spans="1:14" x14ac:dyDescent="0.25">
      <c r="A20" s="231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6"/>
      <c r="N20" s="264">
        <f t="shared" si="1"/>
        <v>0</v>
      </c>
    </row>
    <row r="21" spans="1:14" x14ac:dyDescent="0.25">
      <c r="A21" s="231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6"/>
      <c r="N21" s="264">
        <f t="shared" si="1"/>
        <v>0</v>
      </c>
    </row>
    <row r="22" spans="1:14" x14ac:dyDescent="0.25">
      <c r="A22" s="231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6"/>
      <c r="N22" s="264">
        <f t="shared" si="1"/>
        <v>0</v>
      </c>
    </row>
    <row r="23" spans="1:14" x14ac:dyDescent="0.25">
      <c r="A23" s="231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6"/>
      <c r="N23" s="264">
        <f t="shared" si="1"/>
        <v>0</v>
      </c>
    </row>
    <row r="24" spans="1:14" x14ac:dyDescent="0.25">
      <c r="A24" s="231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6"/>
      <c r="N24" s="264">
        <f t="shared" si="1"/>
        <v>0</v>
      </c>
    </row>
    <row r="25" spans="1:14" x14ac:dyDescent="0.25">
      <c r="A25" s="231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6"/>
      <c r="N25" s="264">
        <f t="shared" si="1"/>
        <v>0</v>
      </c>
    </row>
    <row r="26" spans="1:14" x14ac:dyDescent="0.25">
      <c r="A26" s="231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6"/>
      <c r="N26" s="264">
        <f t="shared" si="1"/>
        <v>0</v>
      </c>
    </row>
    <row r="27" spans="1:14" x14ac:dyDescent="0.25">
      <c r="A27" s="235" t="s">
        <v>98</v>
      </c>
      <c r="B27" s="277">
        <f t="shared" ref="B27:M27" si="2">SUM(B3:B26)</f>
        <v>8650</v>
      </c>
      <c r="C27" s="277">
        <f t="shared" si="2"/>
        <v>14935</v>
      </c>
      <c r="D27" s="277">
        <f t="shared" si="2"/>
        <v>22370</v>
      </c>
      <c r="E27" s="277">
        <f t="shared" si="2"/>
        <v>0</v>
      </c>
      <c r="F27" s="277">
        <f t="shared" si="2"/>
        <v>0</v>
      </c>
      <c r="G27" s="277">
        <f t="shared" si="2"/>
        <v>0</v>
      </c>
      <c r="H27" s="277">
        <f t="shared" si="2"/>
        <v>0</v>
      </c>
      <c r="I27" s="277">
        <f t="shared" si="2"/>
        <v>0</v>
      </c>
      <c r="J27" s="277">
        <f t="shared" si="2"/>
        <v>0</v>
      </c>
      <c r="K27" s="277">
        <f t="shared" si="2"/>
        <v>0</v>
      </c>
      <c r="L27" s="277">
        <f t="shared" si="2"/>
        <v>0</v>
      </c>
      <c r="M27" s="277">
        <f t="shared" si="2"/>
        <v>0</v>
      </c>
      <c r="N27" s="277">
        <f>SUM(N3:N26)</f>
        <v>45955</v>
      </c>
    </row>
    <row r="29" spans="1:14" x14ac:dyDescent="0.25">
      <c r="N29" s="240">
        <f>SUM(B27:M27)-N27</f>
        <v>0</v>
      </c>
    </row>
  </sheetData>
  <phoneticPr fontId="22" type="noConversion"/>
  <pageMargins left="0.7" right="0.7" top="0.75" bottom="0.75" header="0.3" footer="0.3"/>
  <pageSetup paperSize="9" scale="76" firstPageNumber="42949672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N12"/>
  <sheetViews>
    <sheetView workbookViewId="0">
      <selection activeCell="D4" sqref="D4"/>
    </sheetView>
  </sheetViews>
  <sheetFormatPr defaultRowHeight="15" x14ac:dyDescent="0.25"/>
  <cols>
    <col min="1" max="1" width="38" bestFit="1" customWidth="1"/>
    <col min="2" max="2" width="10.85546875" customWidth="1"/>
    <col min="3" max="4" width="10.28515625" bestFit="1" customWidth="1"/>
    <col min="5" max="5" width="12.85546875" bestFit="1" customWidth="1"/>
    <col min="6" max="6" width="12.7109375" customWidth="1"/>
    <col min="7" max="9" width="12.85546875" bestFit="1" customWidth="1"/>
    <col min="10" max="12" width="10.28515625" bestFit="1" customWidth="1"/>
    <col min="13" max="13" width="12.85546875" bestFit="1" customWidth="1"/>
    <col min="14" max="14" width="14.5703125" bestFit="1" customWidth="1"/>
  </cols>
  <sheetData>
    <row r="1" spans="1:14" x14ac:dyDescent="0.25">
      <c r="A1" s="235" t="s">
        <v>36</v>
      </c>
      <c r="B1" s="241"/>
      <c r="C1" s="241"/>
      <c r="D1" s="241"/>
      <c r="E1" s="241"/>
      <c r="F1" s="210"/>
      <c r="G1" s="210" t="str">
        <f>'ВСЕ затраты'!B1</f>
        <v>2023-2024гг.</v>
      </c>
      <c r="H1" s="241"/>
      <c r="I1" s="241"/>
      <c r="J1" s="241"/>
      <c r="K1" s="241"/>
      <c r="L1" s="241"/>
      <c r="M1" s="241"/>
      <c r="N1" s="236"/>
    </row>
    <row r="2" spans="1:14" x14ac:dyDescent="0.25">
      <c r="A2" s="236"/>
      <c r="B2" s="254" t="s">
        <v>4</v>
      </c>
      <c r="C2" s="254" t="s">
        <v>5</v>
      </c>
      <c r="D2" s="254" t="s">
        <v>6</v>
      </c>
      <c r="E2" s="254" t="s">
        <v>7</v>
      </c>
      <c r="F2" s="254" t="s">
        <v>8</v>
      </c>
      <c r="G2" s="254" t="s">
        <v>9</v>
      </c>
      <c r="H2" s="254" t="s">
        <v>14</v>
      </c>
      <c r="I2" s="254" t="s">
        <v>15</v>
      </c>
      <c r="J2" s="254" t="s">
        <v>16</v>
      </c>
      <c r="K2" s="254" t="s">
        <v>17</v>
      </c>
      <c r="L2" s="254" t="s">
        <v>18</v>
      </c>
      <c r="M2" s="254" t="s">
        <v>19</v>
      </c>
      <c r="N2" s="254"/>
    </row>
    <row r="3" spans="1:14" x14ac:dyDescent="0.25">
      <c r="A3" s="231" t="s">
        <v>121</v>
      </c>
      <c r="B3" s="264">
        <v>365000</v>
      </c>
      <c r="C3" s="264">
        <v>412000</v>
      </c>
      <c r="D3" s="264">
        <v>386000</v>
      </c>
      <c r="E3" s="264"/>
      <c r="F3" s="264"/>
      <c r="G3" s="264"/>
      <c r="H3" s="264"/>
      <c r="I3" s="264"/>
      <c r="J3" s="264"/>
      <c r="K3" s="264"/>
      <c r="L3" s="264"/>
      <c r="M3" s="264"/>
      <c r="N3" s="264">
        <f t="shared" ref="N3:N9" si="0">SUM(B3:M3)</f>
        <v>1163000</v>
      </c>
    </row>
    <row r="4" spans="1:14" x14ac:dyDescent="0.25">
      <c r="A4" s="231" t="s">
        <v>122</v>
      </c>
      <c r="B4" s="264">
        <v>54000</v>
      </c>
      <c r="C4" s="264">
        <v>54000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>
        <f t="shared" si="0"/>
        <v>108000</v>
      </c>
    </row>
    <row r="5" spans="1:14" x14ac:dyDescent="0.25">
      <c r="A5" s="231" t="s">
        <v>133</v>
      </c>
      <c r="B5" s="264">
        <v>35017.629999999997</v>
      </c>
      <c r="C5" s="264">
        <v>35017.629999999997</v>
      </c>
      <c r="D5" s="264">
        <v>35017.629999999997</v>
      </c>
      <c r="E5" s="264"/>
      <c r="F5" s="264"/>
      <c r="G5" s="264"/>
      <c r="H5" s="264"/>
      <c r="I5" s="264"/>
      <c r="J5" s="264"/>
      <c r="K5" s="264"/>
      <c r="L5" s="264"/>
      <c r="M5" s="264"/>
      <c r="N5" s="264">
        <f t="shared" si="0"/>
        <v>105052.88999999998</v>
      </c>
    </row>
    <row r="6" spans="1:14" x14ac:dyDescent="0.25">
      <c r="A6" s="231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>
        <f t="shared" si="0"/>
        <v>0</v>
      </c>
    </row>
    <row r="7" spans="1:14" x14ac:dyDescent="0.25">
      <c r="A7" s="231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>
        <f t="shared" si="0"/>
        <v>0</v>
      </c>
    </row>
    <row r="8" spans="1:14" x14ac:dyDescent="0.25">
      <c r="A8" s="231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>
        <f t="shared" si="0"/>
        <v>0</v>
      </c>
    </row>
    <row r="9" spans="1:14" x14ac:dyDescent="0.25">
      <c r="A9" s="231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>
        <f t="shared" si="0"/>
        <v>0</v>
      </c>
    </row>
    <row r="10" spans="1:14" x14ac:dyDescent="0.25">
      <c r="A10" s="235" t="s">
        <v>98</v>
      </c>
      <c r="B10" s="247">
        <f t="shared" ref="B10:N10" si="1">SUM(B3:B9)</f>
        <v>454017.63</v>
      </c>
      <c r="C10" s="247">
        <f t="shared" si="1"/>
        <v>501017.63</v>
      </c>
      <c r="D10" s="247">
        <f t="shared" si="1"/>
        <v>421017.63</v>
      </c>
      <c r="E10" s="247">
        <f t="shared" si="1"/>
        <v>0</v>
      </c>
      <c r="F10" s="247">
        <f t="shared" si="1"/>
        <v>0</v>
      </c>
      <c r="G10" s="247">
        <f t="shared" si="1"/>
        <v>0</v>
      </c>
      <c r="H10" s="247">
        <f t="shared" si="1"/>
        <v>0</v>
      </c>
      <c r="I10" s="247">
        <f t="shared" si="1"/>
        <v>0</v>
      </c>
      <c r="J10" s="247">
        <f t="shared" si="1"/>
        <v>0</v>
      </c>
      <c r="K10" s="247">
        <f t="shared" si="1"/>
        <v>0</v>
      </c>
      <c r="L10" s="247">
        <f t="shared" si="1"/>
        <v>0</v>
      </c>
      <c r="M10" s="247">
        <f t="shared" si="1"/>
        <v>0</v>
      </c>
      <c r="N10" s="247">
        <f t="shared" si="1"/>
        <v>1376052.89</v>
      </c>
    </row>
    <row r="12" spans="1:14" x14ac:dyDescent="0.25">
      <c r="N12" s="240">
        <f>SUM(B10:M10)-N10</f>
        <v>0</v>
      </c>
    </row>
  </sheetData>
  <phoneticPr fontId="22" type="noConversion"/>
  <pageMargins left="0.25" right="0.25" top="0.75" bottom="0.75" header="0.3" footer="0.3"/>
  <pageSetup paperSize="9" scale="74" firstPageNumber="42949672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P8"/>
  <sheetViews>
    <sheetView workbookViewId="0">
      <selection activeCell="I1" sqref="I1"/>
    </sheetView>
  </sheetViews>
  <sheetFormatPr defaultRowHeight="15" x14ac:dyDescent="0.2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 x14ac:dyDescent="0.25">
      <c r="A1" s="235" t="s">
        <v>38</v>
      </c>
      <c r="B1" s="241"/>
      <c r="C1" s="241"/>
      <c r="D1" s="241"/>
      <c r="E1" s="241"/>
      <c r="F1" s="210"/>
      <c r="G1" s="210" t="str">
        <f>'ВСЕ затраты'!B1</f>
        <v>2023-2024гг.</v>
      </c>
      <c r="H1" s="241"/>
      <c r="I1" s="241"/>
      <c r="J1" s="241"/>
      <c r="K1" s="241"/>
      <c r="L1" s="241"/>
      <c r="M1" s="241"/>
      <c r="N1" s="236"/>
    </row>
    <row r="2" spans="1:16" x14ac:dyDescent="0.25">
      <c r="A2" s="236"/>
      <c r="B2" s="254" t="s">
        <v>4</v>
      </c>
      <c r="C2" s="254" t="s">
        <v>5</v>
      </c>
      <c r="D2" s="254" t="s">
        <v>6</v>
      </c>
      <c r="E2" s="255" t="s">
        <v>7</v>
      </c>
      <c r="F2" s="254" t="s">
        <v>8</v>
      </c>
      <c r="G2" s="255" t="s">
        <v>9</v>
      </c>
      <c r="H2" s="254" t="s">
        <v>14</v>
      </c>
      <c r="I2" s="255" t="s">
        <v>15</v>
      </c>
      <c r="J2" s="254" t="s">
        <v>16</v>
      </c>
      <c r="K2" s="254" t="s">
        <v>17</v>
      </c>
      <c r="L2" s="254" t="s">
        <v>18</v>
      </c>
      <c r="M2" s="254" t="s">
        <v>19</v>
      </c>
      <c r="N2" s="254"/>
      <c r="P2" s="97"/>
    </row>
    <row r="3" spans="1:16" x14ac:dyDescent="0.2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>
        <f>SUM(B3:M3)</f>
        <v>0</v>
      </c>
      <c r="P3" s="97"/>
    </row>
    <row r="4" spans="1:16" x14ac:dyDescent="0.25">
      <c r="A4" s="231"/>
      <c r="B4" s="222"/>
      <c r="C4" s="231"/>
      <c r="D4" s="231"/>
      <c r="E4" s="222"/>
      <c r="F4" s="231"/>
      <c r="G4" s="231"/>
      <c r="H4" s="222"/>
      <c r="I4" s="231"/>
      <c r="J4" s="231"/>
      <c r="K4" s="231"/>
      <c r="L4" s="231"/>
      <c r="M4" s="231"/>
      <c r="N4" s="231">
        <f>SUM(B4:M4)</f>
        <v>0</v>
      </c>
    </row>
    <row r="5" spans="1:16" x14ac:dyDescent="0.2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>
        <f>SUM(B5:M5)</f>
        <v>0</v>
      </c>
    </row>
    <row r="6" spans="1:16" x14ac:dyDescent="0.25">
      <c r="A6" s="235" t="s">
        <v>98</v>
      </c>
      <c r="B6" s="233">
        <f>SUM(B3:B5)</f>
        <v>0</v>
      </c>
      <c r="C6" s="233">
        <f t="shared" ref="C6:N6" si="0">SUM(C3:C5)</f>
        <v>0</v>
      </c>
      <c r="D6" s="233">
        <f t="shared" si="0"/>
        <v>0</v>
      </c>
      <c r="E6" s="233">
        <f t="shared" si="0"/>
        <v>0</v>
      </c>
      <c r="F6" s="233">
        <f t="shared" si="0"/>
        <v>0</v>
      </c>
      <c r="G6" s="233">
        <f t="shared" si="0"/>
        <v>0</v>
      </c>
      <c r="H6" s="233">
        <f t="shared" si="0"/>
        <v>0</v>
      </c>
      <c r="I6" s="233">
        <f t="shared" si="0"/>
        <v>0</v>
      </c>
      <c r="J6" s="233">
        <f t="shared" si="0"/>
        <v>0</v>
      </c>
      <c r="K6" s="233">
        <f t="shared" si="0"/>
        <v>0</v>
      </c>
      <c r="L6" s="233">
        <f t="shared" si="0"/>
        <v>0</v>
      </c>
      <c r="M6" s="233">
        <f t="shared" si="0"/>
        <v>0</v>
      </c>
      <c r="N6" s="233">
        <f t="shared" si="0"/>
        <v>0</v>
      </c>
    </row>
    <row r="8" spans="1:16" x14ac:dyDescent="0.25">
      <c r="N8" s="240">
        <f>SUM(B6:M6)-N6</f>
        <v>0</v>
      </c>
    </row>
  </sheetData>
  <phoneticPr fontId="22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32"/>
  <sheetViews>
    <sheetView workbookViewId="0">
      <selection activeCell="N3" sqref="N3:N29"/>
    </sheetView>
  </sheetViews>
  <sheetFormatPr defaultRowHeight="15" x14ac:dyDescent="0.2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  <col min="14" max="14" width="11.85546875" bestFit="1" customWidth="1"/>
  </cols>
  <sheetData>
    <row r="1" spans="1:14" x14ac:dyDescent="0.25">
      <c r="A1" s="235" t="s">
        <v>39</v>
      </c>
      <c r="B1" s="209"/>
      <c r="C1" s="241"/>
      <c r="D1" s="241"/>
      <c r="E1" s="209"/>
      <c r="F1" s="210"/>
      <c r="G1" s="210" t="str">
        <f>'ВСЕ затраты'!B1</f>
        <v>2023-2024гг.</v>
      </c>
      <c r="H1" s="241"/>
      <c r="I1" s="241"/>
      <c r="J1" s="241"/>
      <c r="K1" s="241"/>
      <c r="L1" s="241"/>
      <c r="M1" s="241"/>
      <c r="N1" s="236"/>
    </row>
    <row r="2" spans="1:14" x14ac:dyDescent="0.25">
      <c r="A2" s="231"/>
      <c r="B2" s="213" t="s">
        <v>4</v>
      </c>
      <c r="C2" s="213" t="s">
        <v>5</v>
      </c>
      <c r="D2" s="213" t="s">
        <v>6</v>
      </c>
      <c r="E2" s="215" t="s">
        <v>7</v>
      </c>
      <c r="F2" s="213" t="s">
        <v>8</v>
      </c>
      <c r="G2" s="215" t="s">
        <v>9</v>
      </c>
      <c r="H2" s="213" t="s">
        <v>14</v>
      </c>
      <c r="I2" s="215" t="s">
        <v>15</v>
      </c>
      <c r="J2" s="213" t="s">
        <v>16</v>
      </c>
      <c r="K2" s="213" t="s">
        <v>17</v>
      </c>
      <c r="L2" s="213" t="s">
        <v>18</v>
      </c>
      <c r="M2" s="213" t="s">
        <v>19</v>
      </c>
      <c r="N2" s="213" t="s">
        <v>98</v>
      </c>
    </row>
    <row r="3" spans="1:14" x14ac:dyDescent="0.25">
      <c r="A3" s="256" t="s">
        <v>135</v>
      </c>
      <c r="B3" s="213"/>
      <c r="C3" s="276">
        <f>5024+47752</f>
        <v>52776</v>
      </c>
      <c r="D3" s="276"/>
      <c r="E3" s="284"/>
      <c r="F3" s="276"/>
      <c r="G3" s="284"/>
      <c r="H3" s="276"/>
      <c r="I3" s="284"/>
      <c r="J3" s="276"/>
      <c r="K3" s="276"/>
      <c r="L3" s="276"/>
      <c r="M3" s="276"/>
      <c r="N3" s="279">
        <f t="shared" ref="N3:N29" si="0">SUM(B3:M3)</f>
        <v>52776</v>
      </c>
    </row>
    <row r="4" spans="1:14" x14ac:dyDescent="0.25">
      <c r="A4" s="231" t="s">
        <v>137</v>
      </c>
      <c r="B4" s="213"/>
      <c r="C4" s="276">
        <v>21756</v>
      </c>
      <c r="D4" s="276"/>
      <c r="E4" s="284"/>
      <c r="F4" s="276"/>
      <c r="G4" s="284"/>
      <c r="H4" s="276"/>
      <c r="I4" s="284"/>
      <c r="J4" s="276"/>
      <c r="K4" s="276"/>
      <c r="L4" s="276"/>
      <c r="M4" s="276"/>
      <c r="N4" s="279">
        <f t="shared" si="0"/>
        <v>21756</v>
      </c>
    </row>
    <row r="5" spans="1:14" x14ac:dyDescent="0.25">
      <c r="A5" s="260" t="s">
        <v>222</v>
      </c>
      <c r="B5" s="222"/>
      <c r="C5" s="222"/>
      <c r="D5" s="222">
        <v>12485</v>
      </c>
      <c r="E5" s="222"/>
      <c r="F5" s="222"/>
      <c r="G5" s="222"/>
      <c r="H5" s="222"/>
      <c r="I5" s="222"/>
      <c r="J5" s="222"/>
      <c r="K5" s="222"/>
      <c r="L5" s="222"/>
      <c r="M5" s="222"/>
      <c r="N5" s="288">
        <f t="shared" ref="N5" si="1">SUM(B5:M5)</f>
        <v>12485</v>
      </c>
    </row>
    <row r="6" spans="1:14" x14ac:dyDescent="0.25">
      <c r="A6" s="231"/>
      <c r="B6" s="231"/>
      <c r="C6" s="276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79">
        <f t="shared" si="0"/>
        <v>0</v>
      </c>
    </row>
    <row r="7" spans="1:14" x14ac:dyDescent="0.25">
      <c r="A7" s="258"/>
      <c r="B7" s="213"/>
      <c r="C7" s="276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79">
        <f t="shared" si="0"/>
        <v>0</v>
      </c>
    </row>
    <row r="8" spans="1:14" x14ac:dyDescent="0.25">
      <c r="A8" s="256"/>
      <c r="B8" s="213"/>
      <c r="C8" s="276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79">
        <f t="shared" si="0"/>
        <v>0</v>
      </c>
    </row>
    <row r="9" spans="1:14" x14ac:dyDescent="0.25">
      <c r="A9" s="256"/>
      <c r="B9" s="213"/>
      <c r="C9" s="276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79">
        <f t="shared" si="0"/>
        <v>0</v>
      </c>
    </row>
    <row r="10" spans="1:14" x14ac:dyDescent="0.25">
      <c r="A10" s="256"/>
      <c r="B10" s="222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79">
        <f t="shared" si="0"/>
        <v>0</v>
      </c>
    </row>
    <row r="11" spans="1:14" x14ac:dyDescent="0.25">
      <c r="A11" s="241"/>
      <c r="B11" s="231"/>
      <c r="C11" s="264"/>
      <c r="D11" s="266"/>
      <c r="E11" s="270"/>
      <c r="F11" s="264"/>
      <c r="G11" s="264"/>
      <c r="H11" s="264"/>
      <c r="I11" s="264"/>
      <c r="J11" s="264"/>
      <c r="K11" s="264"/>
      <c r="L11" s="264"/>
      <c r="M11" s="264"/>
      <c r="N11" s="279">
        <f t="shared" si="0"/>
        <v>0</v>
      </c>
    </row>
    <row r="12" spans="1:14" x14ac:dyDescent="0.25">
      <c r="A12" s="241"/>
      <c r="B12" s="229"/>
      <c r="C12" s="266"/>
      <c r="D12" s="266"/>
      <c r="E12" s="270"/>
      <c r="F12" s="264"/>
      <c r="G12" s="264"/>
      <c r="H12" s="264"/>
      <c r="I12" s="264"/>
      <c r="J12" s="264"/>
      <c r="K12" s="264"/>
      <c r="L12" s="264"/>
      <c r="M12" s="264"/>
      <c r="N12" s="279">
        <f t="shared" si="0"/>
        <v>0</v>
      </c>
    </row>
    <row r="13" spans="1:14" x14ac:dyDescent="0.25">
      <c r="A13" s="246"/>
      <c r="B13" s="231"/>
      <c r="C13" s="264"/>
      <c r="D13" s="264"/>
      <c r="E13" s="265"/>
      <c r="F13" s="264"/>
      <c r="G13" s="264"/>
      <c r="H13" s="264"/>
      <c r="I13" s="264"/>
      <c r="J13" s="264"/>
      <c r="K13" s="264"/>
      <c r="L13" s="264"/>
      <c r="M13" s="264"/>
      <c r="N13" s="279">
        <f t="shared" si="0"/>
        <v>0</v>
      </c>
    </row>
    <row r="14" spans="1:14" x14ac:dyDescent="0.25">
      <c r="A14" s="231"/>
      <c r="B14" s="222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79">
        <f t="shared" si="0"/>
        <v>0</v>
      </c>
    </row>
    <row r="15" spans="1:14" x14ac:dyDescent="0.25">
      <c r="A15" s="231"/>
      <c r="B15" s="222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79">
        <f t="shared" si="0"/>
        <v>0</v>
      </c>
    </row>
    <row r="16" spans="1:14" x14ac:dyDescent="0.25">
      <c r="A16" s="231"/>
      <c r="B16" s="222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79">
        <f t="shared" si="0"/>
        <v>0</v>
      </c>
    </row>
    <row r="17" spans="1:14" x14ac:dyDescent="0.25">
      <c r="A17" s="231"/>
      <c r="B17" s="222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79">
        <f t="shared" si="0"/>
        <v>0</v>
      </c>
    </row>
    <row r="18" spans="1:14" x14ac:dyDescent="0.25">
      <c r="A18" s="231"/>
      <c r="B18" s="222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79">
        <f t="shared" si="0"/>
        <v>0</v>
      </c>
    </row>
    <row r="19" spans="1:14" x14ac:dyDescent="0.25">
      <c r="A19" s="231"/>
      <c r="B19" s="222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79">
        <f t="shared" si="0"/>
        <v>0</v>
      </c>
    </row>
    <row r="20" spans="1:14" x14ac:dyDescent="0.25">
      <c r="A20" s="231"/>
      <c r="B20" s="222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79">
        <f t="shared" si="0"/>
        <v>0</v>
      </c>
    </row>
    <row r="21" spans="1:14" x14ac:dyDescent="0.25">
      <c r="A21" s="231"/>
      <c r="B21" s="222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79">
        <f t="shared" si="0"/>
        <v>0</v>
      </c>
    </row>
    <row r="22" spans="1:14" x14ac:dyDescent="0.25">
      <c r="A22" s="231"/>
      <c r="B22" s="222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79">
        <f t="shared" si="0"/>
        <v>0</v>
      </c>
    </row>
    <row r="23" spans="1:14" x14ac:dyDescent="0.25">
      <c r="A23" s="231"/>
      <c r="B23" s="222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79">
        <f t="shared" si="0"/>
        <v>0</v>
      </c>
    </row>
    <row r="24" spans="1:14" x14ac:dyDescent="0.25">
      <c r="A24" s="231"/>
      <c r="B24" s="222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79">
        <f t="shared" si="0"/>
        <v>0</v>
      </c>
    </row>
    <row r="25" spans="1:14" x14ac:dyDescent="0.25">
      <c r="A25" s="259"/>
      <c r="B25" s="231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79">
        <f t="shared" si="0"/>
        <v>0</v>
      </c>
    </row>
    <row r="26" spans="1:14" x14ac:dyDescent="0.25">
      <c r="A26" s="231"/>
      <c r="B26" s="222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79">
        <f t="shared" si="0"/>
        <v>0</v>
      </c>
    </row>
    <row r="27" spans="1:14" x14ac:dyDescent="0.25">
      <c r="A27" s="231"/>
      <c r="B27" s="222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79">
        <f t="shared" si="0"/>
        <v>0</v>
      </c>
    </row>
    <row r="28" spans="1:14" x14ac:dyDescent="0.25">
      <c r="A28" s="231"/>
      <c r="B28" s="222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79">
        <f t="shared" si="0"/>
        <v>0</v>
      </c>
    </row>
    <row r="29" spans="1:14" x14ac:dyDescent="0.25">
      <c r="A29" s="231"/>
      <c r="B29" s="222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79">
        <f t="shared" si="0"/>
        <v>0</v>
      </c>
    </row>
    <row r="30" spans="1:14" x14ac:dyDescent="0.25">
      <c r="A30" s="235" t="s">
        <v>98</v>
      </c>
      <c r="B30" s="233">
        <f t="shared" ref="B30:N30" si="2">SUM(B3:B29)</f>
        <v>0</v>
      </c>
      <c r="C30" s="233">
        <f t="shared" si="2"/>
        <v>74532</v>
      </c>
      <c r="D30" s="233">
        <f t="shared" si="2"/>
        <v>12485</v>
      </c>
      <c r="E30" s="233">
        <f t="shared" si="2"/>
        <v>0</v>
      </c>
      <c r="F30" s="233">
        <f t="shared" si="2"/>
        <v>0</v>
      </c>
      <c r="G30" s="233">
        <f t="shared" si="2"/>
        <v>0</v>
      </c>
      <c r="H30" s="233">
        <f t="shared" si="2"/>
        <v>0</v>
      </c>
      <c r="I30" s="233">
        <f t="shared" si="2"/>
        <v>0</v>
      </c>
      <c r="J30" s="233">
        <f t="shared" si="2"/>
        <v>0</v>
      </c>
      <c r="K30" s="233">
        <f t="shared" si="2"/>
        <v>0</v>
      </c>
      <c r="L30" s="233">
        <f t="shared" si="2"/>
        <v>0</v>
      </c>
      <c r="M30" s="233">
        <f t="shared" si="2"/>
        <v>0</v>
      </c>
      <c r="N30" s="233">
        <f t="shared" si="2"/>
        <v>87017</v>
      </c>
    </row>
    <row r="32" spans="1:14" x14ac:dyDescent="0.25">
      <c r="N32" s="240">
        <f>SUM(B30:M30)-N30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40"/>
  <sheetViews>
    <sheetView workbookViewId="0">
      <selection activeCell="A11" sqref="A11"/>
    </sheetView>
  </sheetViews>
  <sheetFormatPr defaultRowHeight="15" x14ac:dyDescent="0.25"/>
  <cols>
    <col min="1" max="1" width="38.7109375" bestFit="1" customWidth="1"/>
    <col min="2" max="2" width="10.85546875" bestFit="1" customWidth="1"/>
    <col min="3" max="3" width="11.85546875" style="1" bestFit="1" customWidth="1"/>
    <col min="4" max="4" width="11.8554687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7.140625" bestFit="1" customWidth="1"/>
    <col min="14" max="14" width="11.85546875" bestFit="1" customWidth="1"/>
  </cols>
  <sheetData>
    <row r="1" spans="1:14" x14ac:dyDescent="0.25">
      <c r="A1" s="235" t="s">
        <v>123</v>
      </c>
      <c r="B1" s="241"/>
      <c r="C1" s="209"/>
      <c r="D1" s="241"/>
      <c r="E1" s="241"/>
      <c r="F1" s="210"/>
      <c r="G1" s="210" t="str">
        <f>'ВСЕ затраты'!B1</f>
        <v>2023-2024гг.</v>
      </c>
      <c r="H1" s="241"/>
      <c r="I1" s="241"/>
      <c r="J1" s="241"/>
      <c r="K1" s="241"/>
      <c r="L1" s="241"/>
      <c r="M1" s="241"/>
      <c r="N1" s="236"/>
    </row>
    <row r="2" spans="1:14" x14ac:dyDescent="0.25">
      <c r="A2" s="236"/>
      <c r="B2" s="213" t="s">
        <v>4</v>
      </c>
      <c r="C2" s="213" t="s">
        <v>5</v>
      </c>
      <c r="D2" s="213" t="s">
        <v>6</v>
      </c>
      <c r="E2" s="215" t="s">
        <v>7</v>
      </c>
      <c r="F2" s="213" t="s">
        <v>8</v>
      </c>
      <c r="G2" s="215" t="s">
        <v>9</v>
      </c>
      <c r="H2" s="213" t="s">
        <v>14</v>
      </c>
      <c r="I2" s="215" t="s">
        <v>15</v>
      </c>
      <c r="J2" s="213" t="s">
        <v>16</v>
      </c>
      <c r="K2" s="213" t="s">
        <v>17</v>
      </c>
      <c r="L2" s="213" t="s">
        <v>18</v>
      </c>
      <c r="M2" s="213" t="s">
        <v>19</v>
      </c>
      <c r="N2" s="213" t="s">
        <v>98</v>
      </c>
    </row>
    <row r="3" spans="1:14" x14ac:dyDescent="0.25">
      <c r="A3" s="246" t="s">
        <v>124</v>
      </c>
      <c r="B3" s="264"/>
      <c r="C3" s="264">
        <v>16300</v>
      </c>
      <c r="D3" s="264">
        <f>16300+16300</f>
        <v>32600</v>
      </c>
      <c r="E3" s="264"/>
      <c r="F3" s="264"/>
      <c r="G3" s="264"/>
      <c r="H3" s="264"/>
      <c r="I3" s="264"/>
      <c r="J3" s="264"/>
      <c r="K3" s="264"/>
      <c r="L3" s="264"/>
      <c r="M3" s="264"/>
      <c r="N3" s="264">
        <f t="shared" ref="N3:N18" si="0">SUM(B3:M3)</f>
        <v>48900</v>
      </c>
    </row>
    <row r="4" spans="1:14" x14ac:dyDescent="0.25">
      <c r="A4" s="260" t="s">
        <v>125</v>
      </c>
      <c r="B4" s="269"/>
      <c r="C4" s="269"/>
      <c r="D4" s="269"/>
      <c r="E4" s="293"/>
      <c r="F4" s="269"/>
      <c r="G4" s="269"/>
      <c r="H4" s="269"/>
      <c r="I4" s="269"/>
      <c r="J4" s="269"/>
      <c r="K4" s="269"/>
      <c r="L4" s="269"/>
      <c r="M4" s="264"/>
      <c r="N4" s="264">
        <f t="shared" si="0"/>
        <v>0</v>
      </c>
    </row>
    <row r="5" spans="1:14" x14ac:dyDescent="0.25">
      <c r="A5" s="260" t="s">
        <v>162</v>
      </c>
      <c r="B5" s="264">
        <v>481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>
        <f t="shared" si="0"/>
        <v>481</v>
      </c>
    </row>
    <row r="6" spans="1:14" x14ac:dyDescent="0.25">
      <c r="A6" s="260" t="s">
        <v>163</v>
      </c>
      <c r="B6" s="264">
        <v>1175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>
        <f t="shared" si="0"/>
        <v>1175</v>
      </c>
    </row>
    <row r="7" spans="1:14" x14ac:dyDescent="0.25">
      <c r="A7" s="246" t="s">
        <v>164</v>
      </c>
      <c r="B7" s="264">
        <v>300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>
        <f t="shared" si="0"/>
        <v>300</v>
      </c>
    </row>
    <row r="8" spans="1:14" x14ac:dyDescent="0.25">
      <c r="A8" s="246" t="s">
        <v>172</v>
      </c>
      <c r="B8" s="264"/>
      <c r="C8" s="264">
        <v>13740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>
        <f t="shared" si="0"/>
        <v>13740</v>
      </c>
    </row>
    <row r="9" spans="1:14" x14ac:dyDescent="0.25">
      <c r="A9" s="246" t="s">
        <v>174</v>
      </c>
      <c r="B9" s="264"/>
      <c r="C9" s="264">
        <v>14000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>
        <f t="shared" si="0"/>
        <v>14000</v>
      </c>
    </row>
    <row r="10" spans="1:14" x14ac:dyDescent="0.25">
      <c r="A10" s="246" t="s">
        <v>198</v>
      </c>
      <c r="B10" s="264"/>
      <c r="C10" s="264">
        <v>760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>
        <f t="shared" si="0"/>
        <v>760</v>
      </c>
    </row>
    <row r="11" spans="1:14" x14ac:dyDescent="0.25">
      <c r="A11" s="246" t="s">
        <v>232</v>
      </c>
      <c r="B11" s="264"/>
      <c r="C11" s="264"/>
      <c r="D11" s="264">
        <v>5000</v>
      </c>
      <c r="E11" s="264"/>
      <c r="F11" s="264"/>
      <c r="G11" s="264"/>
      <c r="H11" s="264"/>
      <c r="I11" s="264"/>
      <c r="J11" s="264"/>
      <c r="K11" s="264"/>
      <c r="L11" s="264"/>
      <c r="M11" s="264"/>
      <c r="N11" s="264">
        <f t="shared" si="0"/>
        <v>5000</v>
      </c>
    </row>
    <row r="12" spans="1:14" x14ac:dyDescent="0.25">
      <c r="A12" s="246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>
        <f t="shared" si="0"/>
        <v>0</v>
      </c>
    </row>
    <row r="13" spans="1:14" x14ac:dyDescent="0.25">
      <c r="A13" s="246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>
        <f t="shared" si="0"/>
        <v>0</v>
      </c>
    </row>
    <row r="14" spans="1:14" x14ac:dyDescent="0.25">
      <c r="A14" s="246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>
        <f t="shared" si="0"/>
        <v>0</v>
      </c>
    </row>
    <row r="15" spans="1:14" x14ac:dyDescent="0.25">
      <c r="A15" s="246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>
        <f t="shared" si="0"/>
        <v>0</v>
      </c>
    </row>
    <row r="16" spans="1:14" x14ac:dyDescent="0.25">
      <c r="A16" s="246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>
        <f t="shared" si="0"/>
        <v>0</v>
      </c>
    </row>
    <row r="17" spans="1:14" x14ac:dyDescent="0.25">
      <c r="A17" s="246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>
        <f t="shared" si="0"/>
        <v>0</v>
      </c>
    </row>
    <row r="18" spans="1:14" x14ac:dyDescent="0.25">
      <c r="A18" s="256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>
        <f t="shared" si="0"/>
        <v>0</v>
      </c>
    </row>
    <row r="19" spans="1:14" x14ac:dyDescent="0.25">
      <c r="A19" s="246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>
        <f t="shared" ref="N19:N37" si="1">SUM(B19:M19)</f>
        <v>0</v>
      </c>
    </row>
    <row r="20" spans="1:14" x14ac:dyDescent="0.25">
      <c r="A20" s="246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>
        <f t="shared" si="1"/>
        <v>0</v>
      </c>
    </row>
    <row r="21" spans="1:14" x14ac:dyDescent="0.25">
      <c r="A21" s="246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>
        <f t="shared" si="1"/>
        <v>0</v>
      </c>
    </row>
    <row r="22" spans="1:14" x14ac:dyDescent="0.25">
      <c r="A22" s="246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>
        <f t="shared" si="1"/>
        <v>0</v>
      </c>
    </row>
    <row r="23" spans="1:14" x14ac:dyDescent="0.25">
      <c r="A23" s="246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>
        <f t="shared" si="1"/>
        <v>0</v>
      </c>
    </row>
    <row r="24" spans="1:14" x14ac:dyDescent="0.25">
      <c r="A24" s="246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>
        <f t="shared" si="1"/>
        <v>0</v>
      </c>
    </row>
    <row r="25" spans="1:14" x14ac:dyDescent="0.25">
      <c r="A25" s="246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>
        <f t="shared" si="1"/>
        <v>0</v>
      </c>
    </row>
    <row r="26" spans="1:14" x14ac:dyDescent="0.25">
      <c r="A26" s="224"/>
      <c r="B26" s="264"/>
      <c r="C26" s="264"/>
      <c r="D26" s="264"/>
      <c r="E26" s="264"/>
      <c r="F26" s="264"/>
      <c r="G26" s="265"/>
      <c r="H26" s="264"/>
      <c r="I26" s="264"/>
      <c r="J26" s="264"/>
      <c r="K26" s="264"/>
      <c r="L26" s="264"/>
      <c r="M26" s="264"/>
      <c r="N26" s="264">
        <f>SUM(B26:M26)</f>
        <v>0</v>
      </c>
    </row>
    <row r="27" spans="1:14" x14ac:dyDescent="0.25">
      <c r="A27" s="246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>
        <f t="shared" si="1"/>
        <v>0</v>
      </c>
    </row>
    <row r="28" spans="1:14" x14ac:dyDescent="0.25">
      <c r="A28" s="246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>
        <f t="shared" si="1"/>
        <v>0</v>
      </c>
    </row>
    <row r="29" spans="1:14" x14ac:dyDescent="0.25">
      <c r="A29" s="246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>
        <f t="shared" si="1"/>
        <v>0</v>
      </c>
    </row>
    <row r="30" spans="1:14" x14ac:dyDescent="0.25">
      <c r="A30" s="246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>
        <f t="shared" si="1"/>
        <v>0</v>
      </c>
    </row>
    <row r="31" spans="1:14" x14ac:dyDescent="0.25">
      <c r="A31" s="246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>
        <f t="shared" si="1"/>
        <v>0</v>
      </c>
    </row>
    <row r="32" spans="1:14" x14ac:dyDescent="0.25">
      <c r="A32" s="246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>
        <f t="shared" si="1"/>
        <v>0</v>
      </c>
    </row>
    <row r="33" spans="1:14" x14ac:dyDescent="0.25">
      <c r="A33" s="246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>
        <f t="shared" si="1"/>
        <v>0</v>
      </c>
    </row>
    <row r="34" spans="1:14" x14ac:dyDescent="0.25">
      <c r="A34" s="246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>
        <f t="shared" si="1"/>
        <v>0</v>
      </c>
    </row>
    <row r="35" spans="1:14" x14ac:dyDescent="0.25">
      <c r="A35" s="246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>
        <f t="shared" si="1"/>
        <v>0</v>
      </c>
    </row>
    <row r="36" spans="1:14" x14ac:dyDescent="0.25">
      <c r="A36" s="246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>
        <f t="shared" si="1"/>
        <v>0</v>
      </c>
    </row>
    <row r="37" spans="1:14" x14ac:dyDescent="0.25">
      <c r="A37" s="246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>
        <f t="shared" si="1"/>
        <v>0</v>
      </c>
    </row>
    <row r="38" spans="1:14" x14ac:dyDescent="0.25">
      <c r="A38" s="235" t="s">
        <v>98</v>
      </c>
      <c r="B38" s="247">
        <f t="shared" ref="B38:N38" si="2">SUM(B3:B37)</f>
        <v>1956</v>
      </c>
      <c r="C38" s="233">
        <f t="shared" si="2"/>
        <v>44800</v>
      </c>
      <c r="D38" s="247">
        <f t="shared" si="2"/>
        <v>37600</v>
      </c>
      <c r="E38" s="247">
        <f t="shared" si="2"/>
        <v>0</v>
      </c>
      <c r="F38" s="247">
        <f t="shared" si="2"/>
        <v>0</v>
      </c>
      <c r="G38" s="247">
        <f t="shared" si="2"/>
        <v>0</v>
      </c>
      <c r="H38" s="247">
        <f t="shared" si="2"/>
        <v>0</v>
      </c>
      <c r="I38" s="247">
        <f t="shared" si="2"/>
        <v>0</v>
      </c>
      <c r="J38" s="247">
        <f t="shared" si="2"/>
        <v>0</v>
      </c>
      <c r="K38" s="247">
        <f t="shared" si="2"/>
        <v>0</v>
      </c>
      <c r="L38" s="247">
        <f t="shared" si="2"/>
        <v>0</v>
      </c>
      <c r="M38" s="247">
        <f t="shared" si="2"/>
        <v>0</v>
      </c>
      <c r="N38" s="247">
        <f t="shared" si="2"/>
        <v>84356</v>
      </c>
    </row>
    <row r="40" spans="1:14" x14ac:dyDescent="0.25">
      <c r="N40" s="240">
        <f>SUM(B38:M38)-N38</f>
        <v>0</v>
      </c>
    </row>
  </sheetData>
  <phoneticPr fontId="22" type="noConversion"/>
  <pageMargins left="0.25" right="0.25" top="0.75" bottom="0.75" header="0.3" footer="0.3"/>
  <pageSetup paperSize="9" scale="83" firstPageNumber="42949672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N50"/>
  <sheetViews>
    <sheetView workbookViewId="0">
      <selection activeCell="A5" sqref="A5:XFD5"/>
    </sheetView>
  </sheetViews>
  <sheetFormatPr defaultRowHeight="15" x14ac:dyDescent="0.25"/>
  <cols>
    <col min="1" max="1" width="33.140625" bestFit="1" customWidth="1"/>
    <col min="2" max="4" width="12.85546875" bestFit="1" customWidth="1"/>
    <col min="5" max="5" width="8" customWidth="1"/>
    <col min="6" max="6" width="8.28515625" customWidth="1"/>
    <col min="7" max="7" width="8" customWidth="1"/>
    <col min="14" max="14" width="14.5703125" style="97" bestFit="1" customWidth="1"/>
  </cols>
  <sheetData>
    <row r="1" spans="1:14" x14ac:dyDescent="0.25">
      <c r="A1" s="235" t="s">
        <v>126</v>
      </c>
      <c r="B1" s="241"/>
      <c r="C1" s="241"/>
      <c r="D1" s="241"/>
      <c r="E1" s="241"/>
      <c r="F1" s="210"/>
      <c r="G1" s="210" t="str">
        <f>'ВСЕ затраты'!B1</f>
        <v>2023-2024гг.</v>
      </c>
      <c r="H1" s="241"/>
      <c r="I1" s="241"/>
      <c r="J1" s="241"/>
      <c r="K1" s="241"/>
      <c r="L1" s="241"/>
      <c r="M1" s="241"/>
      <c r="N1" s="275"/>
    </row>
    <row r="2" spans="1:14" x14ac:dyDescent="0.25">
      <c r="A2" s="236"/>
      <c r="B2" s="254" t="s">
        <v>4</v>
      </c>
      <c r="C2" s="254" t="s">
        <v>5</v>
      </c>
      <c r="D2" s="254" t="s">
        <v>6</v>
      </c>
      <c r="E2" s="255" t="s">
        <v>7</v>
      </c>
      <c r="F2" s="254" t="s">
        <v>8</v>
      </c>
      <c r="G2" s="255" t="s">
        <v>9</v>
      </c>
      <c r="H2" s="254" t="s">
        <v>14</v>
      </c>
      <c r="I2" s="255" t="s">
        <v>15</v>
      </c>
      <c r="J2" s="254" t="s">
        <v>16</v>
      </c>
      <c r="K2" s="254" t="s">
        <v>17</v>
      </c>
      <c r="L2" s="254" t="s">
        <v>18</v>
      </c>
      <c r="M2" s="254" t="s">
        <v>19</v>
      </c>
      <c r="N2" s="276"/>
    </row>
    <row r="3" spans="1:14" x14ac:dyDescent="0.25">
      <c r="A3" s="241"/>
      <c r="B3" s="229"/>
      <c r="C3" s="229"/>
      <c r="D3" s="229"/>
      <c r="E3" s="230"/>
      <c r="F3" s="229"/>
      <c r="G3" s="230"/>
      <c r="H3" s="229"/>
      <c r="I3" s="230"/>
      <c r="J3" s="229"/>
      <c r="K3" s="229"/>
      <c r="L3" s="229"/>
      <c r="M3" s="229"/>
      <c r="N3" s="266"/>
    </row>
    <row r="4" spans="1:14" x14ac:dyDescent="0.25">
      <c r="A4" s="274" t="s">
        <v>126</v>
      </c>
      <c r="B4" s="279">
        <v>224752.22</v>
      </c>
      <c r="C4" s="279">
        <v>116019.75</v>
      </c>
      <c r="D4" s="279">
        <v>103391.64</v>
      </c>
      <c r="E4" s="279"/>
      <c r="F4" s="279"/>
      <c r="G4" s="279"/>
      <c r="H4" s="279"/>
      <c r="I4" s="279"/>
      <c r="J4" s="279"/>
      <c r="K4" s="279"/>
      <c r="L4" s="279"/>
      <c r="M4" s="279"/>
      <c r="N4" s="288">
        <f t="shared" ref="N4:N8" si="0">SUM(B4:M4)</f>
        <v>444163.61</v>
      </c>
    </row>
    <row r="5" spans="1:14" x14ac:dyDescent="0.25">
      <c r="A5" s="231" t="s">
        <v>178</v>
      </c>
      <c r="B5" s="279"/>
      <c r="C5" s="279">
        <v>36696.6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88">
        <f t="shared" si="0"/>
        <v>36696.6</v>
      </c>
    </row>
    <row r="6" spans="1:14" x14ac:dyDescent="0.25">
      <c r="A6" s="231" t="s">
        <v>215</v>
      </c>
      <c r="B6" s="279"/>
      <c r="C6" s="279"/>
      <c r="D6" s="279">
        <f>1470+1726</f>
        <v>3196</v>
      </c>
      <c r="E6" s="279"/>
      <c r="F6" s="279"/>
      <c r="G6" s="279"/>
      <c r="H6" s="279"/>
      <c r="I6" s="279"/>
      <c r="J6" s="279"/>
      <c r="K6" s="279"/>
      <c r="L6" s="279"/>
      <c r="M6" s="279"/>
      <c r="N6" s="279">
        <f t="shared" si="0"/>
        <v>3196</v>
      </c>
    </row>
    <row r="7" spans="1:14" x14ac:dyDescent="0.25">
      <c r="A7" s="231" t="s">
        <v>216</v>
      </c>
      <c r="B7" s="279"/>
      <c r="C7" s="279"/>
      <c r="D7" s="279">
        <v>590</v>
      </c>
      <c r="E7" s="279"/>
      <c r="F7" s="279"/>
      <c r="G7" s="279"/>
      <c r="H7" s="279"/>
      <c r="I7" s="279"/>
      <c r="J7" s="279"/>
      <c r="K7" s="279"/>
      <c r="L7" s="279"/>
      <c r="M7" s="279"/>
      <c r="N7" s="279">
        <f t="shared" si="0"/>
        <v>590</v>
      </c>
    </row>
    <row r="8" spans="1:14" x14ac:dyDescent="0.25">
      <c r="A8" s="231" t="s">
        <v>217</v>
      </c>
      <c r="B8" s="279"/>
      <c r="C8" s="279"/>
      <c r="D8" s="279">
        <f>990+4490</f>
        <v>5480</v>
      </c>
      <c r="E8" s="279"/>
      <c r="F8" s="279"/>
      <c r="G8" s="279"/>
      <c r="H8" s="279"/>
      <c r="I8" s="279"/>
      <c r="J8" s="279"/>
      <c r="K8" s="279"/>
      <c r="L8" s="279"/>
      <c r="M8" s="279"/>
      <c r="N8" s="279">
        <f t="shared" si="0"/>
        <v>5480</v>
      </c>
    </row>
    <row r="9" spans="1:14" x14ac:dyDescent="0.25">
      <c r="A9" s="231" t="s">
        <v>226</v>
      </c>
      <c r="B9" s="279"/>
      <c r="C9" s="279"/>
      <c r="D9" s="279">
        <v>2700</v>
      </c>
      <c r="E9" s="279"/>
      <c r="F9" s="279"/>
      <c r="G9" s="279"/>
      <c r="H9" s="279"/>
      <c r="I9" s="279"/>
      <c r="J9" s="279"/>
      <c r="K9" s="279"/>
      <c r="L9" s="279"/>
      <c r="M9" s="279"/>
      <c r="N9" s="279">
        <f t="shared" ref="N9:N47" si="1">SUM(B9:M9)</f>
        <v>2700</v>
      </c>
    </row>
    <row r="10" spans="1:14" x14ac:dyDescent="0.25">
      <c r="A10" s="246" t="s">
        <v>227</v>
      </c>
      <c r="B10" s="288"/>
      <c r="C10" s="288"/>
      <c r="D10" s="288">
        <v>1000</v>
      </c>
      <c r="E10" s="289"/>
      <c r="F10" s="288"/>
      <c r="G10" s="289"/>
      <c r="H10" s="288"/>
      <c r="I10" s="289"/>
      <c r="J10" s="288"/>
      <c r="K10" s="288"/>
      <c r="L10" s="288"/>
      <c r="M10" s="288"/>
      <c r="N10" s="288">
        <f t="shared" si="1"/>
        <v>1000</v>
      </c>
    </row>
    <row r="11" spans="1:14" x14ac:dyDescent="0.25">
      <c r="A11" s="241" t="s">
        <v>226</v>
      </c>
      <c r="B11" s="288"/>
      <c r="C11" s="288"/>
      <c r="D11" s="288">
        <v>5750</v>
      </c>
      <c r="E11" s="289"/>
      <c r="F11" s="288"/>
      <c r="G11" s="289"/>
      <c r="H11" s="288"/>
      <c r="I11" s="289"/>
      <c r="J11" s="288"/>
      <c r="K11" s="288"/>
      <c r="L11" s="288"/>
      <c r="M11" s="288"/>
      <c r="N11" s="288">
        <f t="shared" si="1"/>
        <v>5750</v>
      </c>
    </row>
    <row r="12" spans="1:14" x14ac:dyDescent="0.25">
      <c r="A12" s="241" t="s">
        <v>215</v>
      </c>
      <c r="B12" s="288"/>
      <c r="C12" s="288"/>
      <c r="D12" s="288">
        <v>863</v>
      </c>
      <c r="E12" s="289"/>
      <c r="F12" s="288"/>
      <c r="G12" s="289"/>
      <c r="H12" s="288"/>
      <c r="I12" s="289"/>
      <c r="J12" s="288"/>
      <c r="K12" s="288"/>
      <c r="L12" s="288"/>
      <c r="M12" s="288"/>
      <c r="N12" s="288">
        <f t="shared" si="1"/>
        <v>863</v>
      </c>
    </row>
    <row r="13" spans="1:14" x14ac:dyDescent="0.25">
      <c r="A13" s="246" t="s">
        <v>228</v>
      </c>
      <c r="B13" s="279"/>
      <c r="C13" s="279"/>
      <c r="D13" s="279">
        <v>3200</v>
      </c>
      <c r="E13" s="290"/>
      <c r="F13" s="279"/>
      <c r="G13" s="290"/>
      <c r="H13" s="279"/>
      <c r="I13" s="290"/>
      <c r="J13" s="279"/>
      <c r="K13" s="279"/>
      <c r="L13" s="279"/>
      <c r="M13" s="279"/>
      <c r="N13" s="288">
        <f t="shared" si="1"/>
        <v>3200</v>
      </c>
    </row>
    <row r="14" spans="1:14" x14ac:dyDescent="0.25">
      <c r="A14" s="241"/>
      <c r="B14" s="279"/>
      <c r="C14" s="279"/>
      <c r="D14" s="279"/>
      <c r="E14" s="290"/>
      <c r="F14" s="279"/>
      <c r="G14" s="290"/>
      <c r="H14" s="279"/>
      <c r="I14" s="290"/>
      <c r="J14" s="279"/>
      <c r="K14" s="279"/>
      <c r="L14" s="279"/>
      <c r="M14" s="279"/>
      <c r="N14" s="288">
        <f t="shared" si="1"/>
        <v>0</v>
      </c>
    </row>
    <row r="15" spans="1:14" x14ac:dyDescent="0.25">
      <c r="A15" s="241"/>
      <c r="B15" s="279"/>
      <c r="C15" s="279"/>
      <c r="D15" s="279"/>
      <c r="E15" s="290"/>
      <c r="F15" s="279"/>
      <c r="G15" s="290"/>
      <c r="H15" s="279"/>
      <c r="I15" s="290"/>
      <c r="J15" s="279"/>
      <c r="K15" s="279"/>
      <c r="L15" s="279"/>
      <c r="M15" s="279"/>
      <c r="N15" s="288">
        <f t="shared" si="1"/>
        <v>0</v>
      </c>
    </row>
    <row r="16" spans="1:14" x14ac:dyDescent="0.25">
      <c r="A16" s="241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88">
        <f t="shared" si="1"/>
        <v>0</v>
      </c>
    </row>
    <row r="17" spans="1:14" x14ac:dyDescent="0.25">
      <c r="A17" s="241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88">
        <f t="shared" si="1"/>
        <v>0</v>
      </c>
    </row>
    <row r="18" spans="1:14" x14ac:dyDescent="0.25">
      <c r="A18" s="241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88">
        <f t="shared" si="1"/>
        <v>0</v>
      </c>
    </row>
    <row r="19" spans="1:14" x14ac:dyDescent="0.25">
      <c r="A19" s="241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88">
        <f t="shared" si="1"/>
        <v>0</v>
      </c>
    </row>
    <row r="20" spans="1:14" x14ac:dyDescent="0.25">
      <c r="A20" s="241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8">
        <f t="shared" si="1"/>
        <v>0</v>
      </c>
    </row>
    <row r="21" spans="1:14" x14ac:dyDescent="0.25">
      <c r="A21" s="241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88">
        <f t="shared" si="1"/>
        <v>0</v>
      </c>
    </row>
    <row r="22" spans="1:14" x14ac:dyDescent="0.25">
      <c r="A22" s="241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88">
        <f t="shared" si="1"/>
        <v>0</v>
      </c>
    </row>
    <row r="23" spans="1:14" x14ac:dyDescent="0.25">
      <c r="A23" s="241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88">
        <f t="shared" si="1"/>
        <v>0</v>
      </c>
    </row>
    <row r="24" spans="1:14" x14ac:dyDescent="0.25">
      <c r="A24" s="241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88">
        <f t="shared" si="1"/>
        <v>0</v>
      </c>
    </row>
    <row r="25" spans="1:14" x14ac:dyDescent="0.25">
      <c r="A25" s="241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88">
        <f t="shared" si="1"/>
        <v>0</v>
      </c>
    </row>
    <row r="26" spans="1:14" x14ac:dyDescent="0.25">
      <c r="A26" s="246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88">
        <f t="shared" si="1"/>
        <v>0</v>
      </c>
    </row>
    <row r="27" spans="1:14" x14ac:dyDescent="0.25">
      <c r="A27" s="241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88">
        <f t="shared" si="1"/>
        <v>0</v>
      </c>
    </row>
    <row r="28" spans="1:14" x14ac:dyDescent="0.25">
      <c r="A28" s="241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88">
        <f t="shared" si="1"/>
        <v>0</v>
      </c>
    </row>
    <row r="29" spans="1:14" x14ac:dyDescent="0.25">
      <c r="A29" s="241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88">
        <f t="shared" si="1"/>
        <v>0</v>
      </c>
    </row>
    <row r="30" spans="1:14" x14ac:dyDescent="0.25">
      <c r="A30" s="241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88">
        <f t="shared" si="1"/>
        <v>0</v>
      </c>
    </row>
    <row r="31" spans="1:14" x14ac:dyDescent="0.25">
      <c r="A31" s="241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88">
        <f t="shared" si="1"/>
        <v>0</v>
      </c>
    </row>
    <row r="32" spans="1:14" x14ac:dyDescent="0.25">
      <c r="A32" s="241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88">
        <f t="shared" si="1"/>
        <v>0</v>
      </c>
    </row>
    <row r="33" spans="1:14" x14ac:dyDescent="0.25">
      <c r="A33" s="241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88">
        <f t="shared" si="1"/>
        <v>0</v>
      </c>
    </row>
    <row r="34" spans="1:14" x14ac:dyDescent="0.25">
      <c r="A34" s="24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66">
        <f t="shared" si="1"/>
        <v>0</v>
      </c>
    </row>
    <row r="35" spans="1:14" x14ac:dyDescent="0.25">
      <c r="A35" s="24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66">
        <f t="shared" si="1"/>
        <v>0</v>
      </c>
    </row>
    <row r="36" spans="1:14" x14ac:dyDescent="0.25">
      <c r="A36" s="24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66">
        <f t="shared" si="1"/>
        <v>0</v>
      </c>
    </row>
    <row r="37" spans="1:14" x14ac:dyDescent="0.25">
      <c r="A37" s="24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66">
        <f t="shared" si="1"/>
        <v>0</v>
      </c>
    </row>
    <row r="38" spans="1:14" x14ac:dyDescent="0.25">
      <c r="A38" s="24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66">
        <f t="shared" si="1"/>
        <v>0</v>
      </c>
    </row>
    <row r="39" spans="1:14" x14ac:dyDescent="0.25">
      <c r="A39" s="24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66">
        <f t="shared" si="1"/>
        <v>0</v>
      </c>
    </row>
    <row r="40" spans="1:14" x14ac:dyDescent="0.25">
      <c r="A40" s="24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66">
        <f t="shared" si="1"/>
        <v>0</v>
      </c>
    </row>
    <row r="41" spans="1:14" x14ac:dyDescent="0.25">
      <c r="A41" s="24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66">
        <f t="shared" si="1"/>
        <v>0</v>
      </c>
    </row>
    <row r="42" spans="1:14" x14ac:dyDescent="0.25">
      <c r="A42" s="241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66">
        <f t="shared" si="1"/>
        <v>0</v>
      </c>
    </row>
    <row r="43" spans="1:14" x14ac:dyDescent="0.25">
      <c r="A43" s="24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66">
        <f t="shared" si="1"/>
        <v>0</v>
      </c>
    </row>
    <row r="44" spans="1:14" x14ac:dyDescent="0.25">
      <c r="A44" s="24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66">
        <f t="shared" si="1"/>
        <v>0</v>
      </c>
    </row>
    <row r="45" spans="1:14" x14ac:dyDescent="0.25">
      <c r="A45" s="24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66">
        <f t="shared" si="1"/>
        <v>0</v>
      </c>
    </row>
    <row r="46" spans="1:14" x14ac:dyDescent="0.25">
      <c r="A46" s="241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66">
        <f t="shared" si="1"/>
        <v>0</v>
      </c>
    </row>
    <row r="47" spans="1:14" x14ac:dyDescent="0.25">
      <c r="A47" s="241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66">
        <f t="shared" si="1"/>
        <v>0</v>
      </c>
    </row>
    <row r="48" spans="1:14" x14ac:dyDescent="0.25">
      <c r="A48" s="235" t="s">
        <v>98</v>
      </c>
      <c r="B48" s="247">
        <f>SUM(B4:B47)</f>
        <v>224752.22</v>
      </c>
      <c r="C48" s="247">
        <f t="shared" ref="C48:M48" si="2">SUM(C4:C47)</f>
        <v>152716.35</v>
      </c>
      <c r="D48" s="247">
        <f>SUM(D4:D47)</f>
        <v>126170.64</v>
      </c>
      <c r="E48" s="247">
        <f t="shared" si="2"/>
        <v>0</v>
      </c>
      <c r="F48" s="247">
        <f t="shared" si="2"/>
        <v>0</v>
      </c>
      <c r="G48" s="247">
        <f t="shared" si="2"/>
        <v>0</v>
      </c>
      <c r="H48" s="247">
        <f t="shared" si="2"/>
        <v>0</v>
      </c>
      <c r="I48" s="247">
        <f t="shared" si="2"/>
        <v>0</v>
      </c>
      <c r="J48" s="247">
        <f t="shared" si="2"/>
        <v>0</v>
      </c>
      <c r="K48" s="247">
        <f t="shared" si="2"/>
        <v>0</v>
      </c>
      <c r="L48" s="247">
        <f t="shared" si="2"/>
        <v>0</v>
      </c>
      <c r="M48" s="247">
        <f t="shared" si="2"/>
        <v>0</v>
      </c>
      <c r="N48" s="277">
        <f>SUM(N4:N47)</f>
        <v>503639.20999999996</v>
      </c>
    </row>
    <row r="50" spans="14:14" x14ac:dyDescent="0.25">
      <c r="N50" s="97">
        <f>SUM(B48:M48)-N48</f>
        <v>0</v>
      </c>
    </row>
  </sheetData>
  <phoneticPr fontId="22" type="noConversion"/>
  <pageMargins left="0.25" right="0.25" top="0.75" bottom="0.75" header="0.3" footer="0.3"/>
  <pageSetup paperSize="9" scale="67" firstPageNumber="42949672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40"/>
  <sheetViews>
    <sheetView topLeftCell="A4" workbookViewId="0">
      <selection activeCell="D4" sqref="D4:D10"/>
    </sheetView>
  </sheetViews>
  <sheetFormatPr defaultRowHeight="15" x14ac:dyDescent="0.2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 x14ac:dyDescent="0.25">
      <c r="A1" s="235" t="s">
        <v>95</v>
      </c>
      <c r="B1" s="209"/>
      <c r="C1" s="241"/>
      <c r="D1" s="209"/>
      <c r="E1" s="241"/>
      <c r="F1" s="210"/>
      <c r="G1" s="210" t="str">
        <f>'ВСЕ затраты'!B1</f>
        <v>2023-2024гг.</v>
      </c>
      <c r="H1" s="235"/>
      <c r="I1" s="241"/>
      <c r="J1" s="241"/>
      <c r="K1" s="241"/>
      <c r="L1" s="241"/>
      <c r="M1" s="241"/>
      <c r="N1" s="236"/>
    </row>
    <row r="2" spans="1:14" x14ac:dyDescent="0.25">
      <c r="A2" s="236"/>
      <c r="B2" s="213" t="s">
        <v>4</v>
      </c>
      <c r="C2" s="213" t="s">
        <v>5</v>
      </c>
      <c r="D2" s="214" t="s">
        <v>6</v>
      </c>
      <c r="E2" s="213" t="s">
        <v>7</v>
      </c>
      <c r="F2" s="213" t="s">
        <v>8</v>
      </c>
      <c r="G2" s="215" t="s">
        <v>9</v>
      </c>
      <c r="H2" s="213" t="s">
        <v>14</v>
      </c>
      <c r="I2" s="215" t="s">
        <v>15</v>
      </c>
      <c r="J2" s="213" t="s">
        <v>16</v>
      </c>
      <c r="K2" s="213" t="s">
        <v>17</v>
      </c>
      <c r="L2" s="213" t="s">
        <v>18</v>
      </c>
      <c r="M2" s="213" t="s">
        <v>19</v>
      </c>
      <c r="N2" s="213" t="s">
        <v>98</v>
      </c>
    </row>
    <row r="3" spans="1:14" x14ac:dyDescent="0.25">
      <c r="A3" s="241"/>
      <c r="B3" s="218"/>
      <c r="C3" s="229"/>
      <c r="D3" s="218"/>
      <c r="E3" s="230"/>
      <c r="F3" s="229"/>
      <c r="G3" s="230"/>
      <c r="H3" s="229"/>
      <c r="I3" s="230"/>
      <c r="J3" s="229"/>
      <c r="K3" s="229"/>
      <c r="L3" s="229"/>
      <c r="M3" s="229"/>
      <c r="N3" s="229"/>
    </row>
    <row r="4" spans="1:14" x14ac:dyDescent="0.25">
      <c r="A4" s="246" t="s">
        <v>102</v>
      </c>
      <c r="B4" s="222">
        <v>4828</v>
      </c>
      <c r="C4" s="231"/>
      <c r="D4" s="222">
        <v>5028</v>
      </c>
      <c r="E4" s="231"/>
      <c r="F4" s="231"/>
      <c r="G4" s="231"/>
      <c r="H4" s="231"/>
      <c r="I4" s="231"/>
      <c r="J4" s="231"/>
      <c r="K4" s="231"/>
      <c r="L4" s="231"/>
      <c r="M4" s="231"/>
      <c r="N4" s="232">
        <f t="shared" ref="N4:N37" si="0">SUM(B4:M4)</f>
        <v>9856</v>
      </c>
    </row>
    <row r="5" spans="1:14" x14ac:dyDescent="0.25">
      <c r="A5" s="241" t="s">
        <v>103</v>
      </c>
      <c r="B5" s="222"/>
      <c r="C5" s="231"/>
      <c r="D5" s="222"/>
      <c r="E5" s="231"/>
      <c r="F5" s="231"/>
      <c r="G5" s="231"/>
      <c r="H5" s="231"/>
      <c r="I5" s="231"/>
      <c r="J5" s="231"/>
      <c r="K5" s="231"/>
      <c r="L5" s="231"/>
      <c r="M5" s="231"/>
      <c r="N5" s="232">
        <f t="shared" si="0"/>
        <v>0</v>
      </c>
    </row>
    <row r="6" spans="1:14" x14ac:dyDescent="0.25">
      <c r="A6" s="241" t="s">
        <v>136</v>
      </c>
      <c r="B6" s="222"/>
      <c r="C6" s="231">
        <f>2914+8742</f>
        <v>11656</v>
      </c>
      <c r="D6" s="222">
        <v>11756</v>
      </c>
      <c r="E6" s="231"/>
      <c r="F6" s="231"/>
      <c r="G6" s="231"/>
      <c r="H6" s="231"/>
      <c r="I6" s="231"/>
      <c r="J6" s="231"/>
      <c r="K6" s="231"/>
      <c r="L6" s="231"/>
      <c r="M6" s="231"/>
      <c r="N6" s="232">
        <f t="shared" si="0"/>
        <v>23412</v>
      </c>
    </row>
    <row r="7" spans="1:14" x14ac:dyDescent="0.25">
      <c r="A7" s="241" t="s">
        <v>151</v>
      </c>
      <c r="B7" s="222">
        <v>8304</v>
      </c>
      <c r="C7" s="231">
        <v>11784</v>
      </c>
      <c r="D7" s="222"/>
      <c r="E7" s="231"/>
      <c r="F7" s="231"/>
      <c r="G7" s="231"/>
      <c r="H7" s="231"/>
      <c r="I7" s="231"/>
      <c r="J7" s="231"/>
      <c r="K7" s="231"/>
      <c r="L7" s="231"/>
      <c r="M7" s="231"/>
      <c r="N7" s="232">
        <f t="shared" si="0"/>
        <v>20088</v>
      </c>
    </row>
    <row r="8" spans="1:14" x14ac:dyDescent="0.25">
      <c r="A8" s="241" t="s">
        <v>173</v>
      </c>
      <c r="B8" s="222"/>
      <c r="C8" s="231">
        <v>15000</v>
      </c>
      <c r="D8" s="222"/>
      <c r="E8" s="231"/>
      <c r="F8" s="231"/>
      <c r="G8" s="231"/>
      <c r="H8" s="231"/>
      <c r="I8" s="231"/>
      <c r="J8" s="231"/>
      <c r="K8" s="231"/>
      <c r="L8" s="231"/>
      <c r="M8" s="231"/>
      <c r="N8" s="232">
        <f t="shared" si="0"/>
        <v>15000</v>
      </c>
    </row>
    <row r="9" spans="1:14" x14ac:dyDescent="0.25">
      <c r="A9" s="241" t="s">
        <v>230</v>
      </c>
      <c r="B9" s="222"/>
      <c r="C9" s="231"/>
      <c r="D9" s="222">
        <v>1320</v>
      </c>
      <c r="E9" s="231"/>
      <c r="F9" s="231"/>
      <c r="G9" s="231"/>
      <c r="H9" s="231"/>
      <c r="I9" s="231"/>
      <c r="J9" s="231"/>
      <c r="K9" s="231"/>
      <c r="L9" s="231"/>
      <c r="M9" s="231"/>
      <c r="N9" s="229">
        <f t="shared" si="0"/>
        <v>1320</v>
      </c>
    </row>
    <row r="10" spans="1:14" x14ac:dyDescent="0.25">
      <c r="A10" s="241" t="s">
        <v>231</v>
      </c>
      <c r="B10" s="222"/>
      <c r="C10" s="231"/>
      <c r="D10" s="222">
        <v>1000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29">
        <f t="shared" si="0"/>
        <v>1000</v>
      </c>
    </row>
    <row r="11" spans="1:14" x14ac:dyDescent="0.25">
      <c r="A11" s="241"/>
      <c r="B11" s="222"/>
      <c r="C11" s="231"/>
      <c r="D11" s="222"/>
      <c r="E11" s="231"/>
      <c r="F11" s="231"/>
      <c r="G11" s="231"/>
      <c r="H11" s="231"/>
      <c r="I11" s="231"/>
      <c r="J11" s="231"/>
      <c r="K11" s="231"/>
      <c r="L11" s="231"/>
      <c r="M11" s="231"/>
      <c r="N11" s="229">
        <f t="shared" si="0"/>
        <v>0</v>
      </c>
    </row>
    <row r="12" spans="1:14" x14ac:dyDescent="0.25">
      <c r="A12" s="241"/>
      <c r="B12" s="222"/>
      <c r="C12" s="231"/>
      <c r="D12" s="222"/>
      <c r="E12" s="231"/>
      <c r="F12" s="231"/>
      <c r="G12" s="231"/>
      <c r="H12" s="231"/>
      <c r="I12" s="231"/>
      <c r="J12" s="231"/>
      <c r="K12" s="231"/>
      <c r="L12" s="231"/>
      <c r="M12" s="231"/>
      <c r="N12" s="229">
        <f t="shared" si="0"/>
        <v>0</v>
      </c>
    </row>
    <row r="13" spans="1:14" x14ac:dyDescent="0.25">
      <c r="A13" s="241"/>
      <c r="B13" s="222"/>
      <c r="C13" s="231"/>
      <c r="D13" s="222"/>
      <c r="E13" s="187"/>
      <c r="F13" s="231"/>
      <c r="G13" s="231"/>
      <c r="H13" s="231"/>
      <c r="I13" s="231"/>
      <c r="J13" s="231"/>
      <c r="K13" s="231"/>
      <c r="L13" s="231"/>
      <c r="M13" s="231"/>
      <c r="N13" s="230">
        <f t="shared" si="0"/>
        <v>0</v>
      </c>
    </row>
    <row r="14" spans="1:14" x14ac:dyDescent="0.25">
      <c r="A14" s="246"/>
      <c r="B14" s="222"/>
      <c r="C14" s="231"/>
      <c r="D14" s="222"/>
      <c r="E14" s="231"/>
      <c r="F14" s="231"/>
      <c r="G14" s="231"/>
      <c r="H14" s="231"/>
      <c r="I14" s="231"/>
      <c r="J14" s="231"/>
      <c r="K14" s="231"/>
      <c r="L14" s="231"/>
      <c r="M14" s="231"/>
      <c r="N14" s="230">
        <f t="shared" si="0"/>
        <v>0</v>
      </c>
    </row>
    <row r="15" spans="1:14" x14ac:dyDescent="0.25">
      <c r="A15" s="217"/>
      <c r="B15" s="218"/>
      <c r="C15" s="231"/>
      <c r="D15" s="222"/>
      <c r="E15" s="231"/>
      <c r="F15" s="231"/>
      <c r="G15" s="231"/>
      <c r="H15" s="231"/>
      <c r="I15" s="231"/>
      <c r="J15" s="231"/>
      <c r="K15" s="231"/>
      <c r="L15" s="231"/>
      <c r="M15" s="231"/>
      <c r="N15" s="230">
        <f t="shared" si="0"/>
        <v>0</v>
      </c>
    </row>
    <row r="16" spans="1:14" x14ac:dyDescent="0.25">
      <c r="A16" s="241"/>
      <c r="B16" s="222"/>
      <c r="C16" s="231"/>
      <c r="D16" s="222"/>
      <c r="E16" s="231"/>
      <c r="F16" s="231"/>
      <c r="G16" s="231"/>
      <c r="H16" s="231"/>
      <c r="I16" s="231"/>
      <c r="J16" s="231"/>
      <c r="K16" s="231"/>
      <c r="L16" s="231"/>
      <c r="M16" s="231"/>
      <c r="N16" s="230">
        <f t="shared" si="0"/>
        <v>0</v>
      </c>
    </row>
    <row r="17" spans="1:14" x14ac:dyDescent="0.25">
      <c r="A17" s="246"/>
      <c r="B17" s="222"/>
      <c r="C17" s="231"/>
      <c r="D17" s="222"/>
      <c r="E17" s="231"/>
      <c r="F17" s="231"/>
      <c r="G17" s="231"/>
      <c r="H17" s="231"/>
      <c r="I17" s="231"/>
      <c r="J17" s="231"/>
      <c r="K17" s="231"/>
      <c r="L17" s="231"/>
      <c r="M17" s="231"/>
      <c r="N17" s="230">
        <f t="shared" si="0"/>
        <v>0</v>
      </c>
    </row>
    <row r="18" spans="1:14" x14ac:dyDescent="0.25">
      <c r="A18" s="246"/>
      <c r="B18" s="222"/>
      <c r="C18" s="231"/>
      <c r="D18" s="222"/>
      <c r="E18" s="231"/>
      <c r="F18" s="231"/>
      <c r="G18" s="231"/>
      <c r="H18" s="231"/>
      <c r="I18" s="231"/>
      <c r="J18" s="231"/>
      <c r="K18" s="231"/>
      <c r="L18" s="231"/>
      <c r="M18" s="231"/>
      <c r="N18" s="230">
        <f t="shared" si="0"/>
        <v>0</v>
      </c>
    </row>
    <row r="19" spans="1:14" x14ac:dyDescent="0.25">
      <c r="A19" s="246"/>
      <c r="B19" s="222"/>
      <c r="C19" s="231"/>
      <c r="D19" s="222"/>
      <c r="E19" s="231"/>
      <c r="F19" s="231"/>
      <c r="G19" s="231"/>
      <c r="H19" s="231"/>
      <c r="I19" s="231"/>
      <c r="J19" s="231"/>
      <c r="K19" s="231"/>
      <c r="L19" s="231"/>
      <c r="M19" s="231"/>
      <c r="N19" s="230">
        <f t="shared" si="0"/>
        <v>0</v>
      </c>
    </row>
    <row r="20" spans="1:14" x14ac:dyDescent="0.25">
      <c r="A20" s="246"/>
      <c r="B20" s="222"/>
      <c r="C20" s="231"/>
      <c r="D20" s="222"/>
      <c r="E20" s="231"/>
      <c r="F20" s="231"/>
      <c r="G20" s="231"/>
      <c r="H20" s="231"/>
      <c r="I20" s="231"/>
      <c r="J20" s="231"/>
      <c r="K20" s="231"/>
      <c r="L20" s="231"/>
      <c r="M20" s="231"/>
      <c r="N20" s="230">
        <f t="shared" si="0"/>
        <v>0</v>
      </c>
    </row>
    <row r="21" spans="1:14" x14ac:dyDescent="0.25">
      <c r="A21" s="246"/>
      <c r="B21" s="222"/>
      <c r="C21" s="231"/>
      <c r="D21" s="222"/>
      <c r="E21" s="231"/>
      <c r="F21" s="231"/>
      <c r="G21" s="231"/>
      <c r="H21" s="231"/>
      <c r="I21" s="231"/>
      <c r="J21" s="231"/>
      <c r="K21" s="231"/>
      <c r="L21" s="231"/>
      <c r="M21" s="231"/>
      <c r="N21" s="230">
        <f t="shared" si="0"/>
        <v>0</v>
      </c>
    </row>
    <row r="22" spans="1:14" x14ac:dyDescent="0.25">
      <c r="A22" s="246"/>
      <c r="B22" s="222"/>
      <c r="C22" s="231"/>
      <c r="D22" s="222"/>
      <c r="E22" s="231"/>
      <c r="F22" s="231"/>
      <c r="G22" s="231"/>
      <c r="H22" s="231"/>
      <c r="I22" s="231"/>
      <c r="J22" s="231"/>
      <c r="K22" s="231"/>
      <c r="L22" s="231"/>
      <c r="M22" s="231"/>
      <c r="N22" s="230">
        <f t="shared" si="0"/>
        <v>0</v>
      </c>
    </row>
    <row r="23" spans="1:14" x14ac:dyDescent="0.25">
      <c r="A23" s="246"/>
      <c r="B23" s="222"/>
      <c r="C23" s="231"/>
      <c r="D23" s="222"/>
      <c r="E23" s="231"/>
      <c r="F23" s="231"/>
      <c r="G23" s="231"/>
      <c r="H23" s="231"/>
      <c r="I23" s="231"/>
      <c r="J23" s="231"/>
      <c r="K23" s="231"/>
      <c r="L23" s="231"/>
      <c r="M23" s="231"/>
      <c r="N23" s="230">
        <f t="shared" si="0"/>
        <v>0</v>
      </c>
    </row>
    <row r="24" spans="1:14" x14ac:dyDescent="0.25">
      <c r="A24" s="246"/>
      <c r="B24" s="222"/>
      <c r="C24" s="231"/>
      <c r="D24" s="222"/>
      <c r="E24" s="231"/>
      <c r="F24" s="231"/>
      <c r="G24" s="231"/>
      <c r="H24" s="231"/>
      <c r="I24" s="231"/>
      <c r="J24" s="231"/>
      <c r="K24" s="231"/>
      <c r="L24" s="231"/>
      <c r="M24" s="231"/>
      <c r="N24" s="230">
        <f t="shared" si="0"/>
        <v>0</v>
      </c>
    </row>
    <row r="25" spans="1:14" x14ac:dyDescent="0.25">
      <c r="A25" s="246"/>
      <c r="B25" s="222"/>
      <c r="C25" s="231"/>
      <c r="D25" s="222"/>
      <c r="E25" s="231"/>
      <c r="F25" s="231"/>
      <c r="G25" s="231"/>
      <c r="H25" s="231"/>
      <c r="I25" s="231"/>
      <c r="J25" s="231"/>
      <c r="K25" s="231"/>
      <c r="L25" s="231"/>
      <c r="M25" s="231"/>
      <c r="N25" s="230">
        <f t="shared" si="0"/>
        <v>0</v>
      </c>
    </row>
    <row r="26" spans="1:14" x14ac:dyDescent="0.25">
      <c r="A26" s="246"/>
      <c r="B26" s="222"/>
      <c r="C26" s="231"/>
      <c r="D26" s="222"/>
      <c r="E26" s="231"/>
      <c r="F26" s="231"/>
      <c r="G26" s="231"/>
      <c r="H26" s="231"/>
      <c r="I26" s="231"/>
      <c r="J26" s="231"/>
      <c r="K26" s="231"/>
      <c r="L26" s="231"/>
      <c r="M26" s="231"/>
      <c r="N26" s="230">
        <f t="shared" si="0"/>
        <v>0</v>
      </c>
    </row>
    <row r="27" spans="1:14" x14ac:dyDescent="0.25">
      <c r="A27" s="246"/>
      <c r="B27" s="222"/>
      <c r="C27" s="231"/>
      <c r="D27" s="222"/>
      <c r="E27" s="231"/>
      <c r="F27" s="231"/>
      <c r="G27" s="231"/>
      <c r="H27" s="231"/>
      <c r="I27" s="231"/>
      <c r="J27" s="231"/>
      <c r="K27" s="231"/>
      <c r="L27" s="231"/>
      <c r="M27" s="231"/>
      <c r="N27" s="230">
        <f t="shared" si="0"/>
        <v>0</v>
      </c>
    </row>
    <row r="28" spans="1:14" x14ac:dyDescent="0.25">
      <c r="A28" s="246"/>
      <c r="B28" s="222"/>
      <c r="C28" s="231"/>
      <c r="D28" s="222"/>
      <c r="E28" s="231"/>
      <c r="F28" s="231"/>
      <c r="G28" s="231"/>
      <c r="H28" s="231"/>
      <c r="I28" s="231"/>
      <c r="J28" s="231"/>
      <c r="K28" s="231"/>
      <c r="L28" s="231"/>
      <c r="M28" s="231"/>
      <c r="N28" s="230">
        <f t="shared" si="0"/>
        <v>0</v>
      </c>
    </row>
    <row r="29" spans="1:14" x14ac:dyDescent="0.25">
      <c r="A29" s="246"/>
      <c r="B29" s="222"/>
      <c r="C29" s="231"/>
      <c r="D29" s="222"/>
      <c r="E29" s="231"/>
      <c r="F29" s="231"/>
      <c r="G29" s="231"/>
      <c r="H29" s="231"/>
      <c r="I29" s="231"/>
      <c r="J29" s="231"/>
      <c r="K29" s="231"/>
      <c r="L29" s="231"/>
      <c r="M29" s="231"/>
      <c r="N29" s="230">
        <f t="shared" si="0"/>
        <v>0</v>
      </c>
    </row>
    <row r="30" spans="1:14" x14ac:dyDescent="0.25">
      <c r="A30" s="246"/>
      <c r="B30" s="222"/>
      <c r="C30" s="231"/>
      <c r="D30" s="222"/>
      <c r="E30" s="231"/>
      <c r="F30" s="231"/>
      <c r="G30" s="231"/>
      <c r="H30" s="231"/>
      <c r="I30" s="231"/>
      <c r="J30" s="231"/>
      <c r="K30" s="231"/>
      <c r="L30" s="231"/>
      <c r="M30" s="231"/>
      <c r="N30" s="230">
        <f t="shared" si="0"/>
        <v>0</v>
      </c>
    </row>
    <row r="31" spans="1:14" x14ac:dyDescent="0.25">
      <c r="A31" s="246"/>
      <c r="B31" s="222"/>
      <c r="C31" s="231"/>
      <c r="D31" s="222"/>
      <c r="E31" s="231"/>
      <c r="F31" s="231"/>
      <c r="G31" s="231"/>
      <c r="H31" s="231"/>
      <c r="I31" s="231"/>
      <c r="J31" s="231"/>
      <c r="K31" s="231"/>
      <c r="L31" s="231"/>
      <c r="M31" s="231"/>
      <c r="N31" s="230">
        <f t="shared" si="0"/>
        <v>0</v>
      </c>
    </row>
    <row r="32" spans="1:14" x14ac:dyDescent="0.25">
      <c r="A32" s="246"/>
      <c r="B32" s="222"/>
      <c r="C32" s="231"/>
      <c r="D32" s="222"/>
      <c r="E32" s="231"/>
      <c r="F32" s="231"/>
      <c r="G32" s="231"/>
      <c r="H32" s="231"/>
      <c r="I32" s="231"/>
      <c r="J32" s="231"/>
      <c r="K32" s="231"/>
      <c r="L32" s="231"/>
      <c r="M32" s="231"/>
      <c r="N32" s="230">
        <f t="shared" si="0"/>
        <v>0</v>
      </c>
    </row>
    <row r="33" spans="1:14" x14ac:dyDescent="0.25">
      <c r="A33" s="246"/>
      <c r="B33" s="222"/>
      <c r="C33" s="231"/>
      <c r="D33" s="222"/>
      <c r="E33" s="231"/>
      <c r="F33" s="231"/>
      <c r="G33" s="231"/>
      <c r="H33" s="231"/>
      <c r="I33" s="231"/>
      <c r="J33" s="231"/>
      <c r="K33" s="231"/>
      <c r="L33" s="231"/>
      <c r="M33" s="231"/>
      <c r="N33" s="230">
        <f t="shared" si="0"/>
        <v>0</v>
      </c>
    </row>
    <row r="34" spans="1:14" x14ac:dyDescent="0.25">
      <c r="A34" s="246"/>
      <c r="B34" s="222"/>
      <c r="C34" s="231"/>
      <c r="D34" s="222"/>
      <c r="E34" s="231"/>
      <c r="F34" s="231"/>
      <c r="G34" s="231"/>
      <c r="H34" s="231"/>
      <c r="I34" s="231"/>
      <c r="J34" s="231"/>
      <c r="K34" s="231"/>
      <c r="L34" s="231"/>
      <c r="M34" s="231"/>
      <c r="N34" s="230">
        <f t="shared" si="0"/>
        <v>0</v>
      </c>
    </row>
    <row r="35" spans="1:14" x14ac:dyDescent="0.25">
      <c r="A35" s="246"/>
      <c r="B35" s="222"/>
      <c r="C35" s="231"/>
      <c r="D35" s="222"/>
      <c r="E35" s="231"/>
      <c r="F35" s="231"/>
      <c r="G35" s="231"/>
      <c r="H35" s="231"/>
      <c r="I35" s="231"/>
      <c r="J35" s="231"/>
      <c r="K35" s="231"/>
      <c r="L35" s="231"/>
      <c r="M35" s="231"/>
      <c r="N35" s="230">
        <f t="shared" si="0"/>
        <v>0</v>
      </c>
    </row>
    <row r="36" spans="1:14" x14ac:dyDescent="0.25">
      <c r="A36" s="246"/>
      <c r="B36" s="222"/>
      <c r="C36" s="231"/>
      <c r="D36" s="222"/>
      <c r="E36" s="231"/>
      <c r="F36" s="231"/>
      <c r="G36" s="231"/>
      <c r="H36" s="231"/>
      <c r="I36" s="231"/>
      <c r="J36" s="231"/>
      <c r="K36" s="231"/>
      <c r="L36" s="231"/>
      <c r="M36" s="231"/>
      <c r="N36" s="230">
        <f t="shared" si="0"/>
        <v>0</v>
      </c>
    </row>
    <row r="37" spans="1:14" x14ac:dyDescent="0.25">
      <c r="A37" s="246"/>
      <c r="B37" s="222"/>
      <c r="C37" s="231"/>
      <c r="D37" s="222"/>
      <c r="E37" s="231"/>
      <c r="F37" s="231"/>
      <c r="G37" s="231"/>
      <c r="H37" s="231"/>
      <c r="I37" s="231"/>
      <c r="J37" s="231"/>
      <c r="K37" s="231"/>
      <c r="L37" s="231"/>
      <c r="M37" s="231"/>
      <c r="N37" s="230">
        <f t="shared" si="0"/>
        <v>0</v>
      </c>
    </row>
    <row r="38" spans="1:14" x14ac:dyDescent="0.25">
      <c r="A38" s="235" t="s">
        <v>98</v>
      </c>
      <c r="B38" s="233">
        <f t="shared" ref="B38:N38" si="1">SUM(B4:B37)</f>
        <v>13132</v>
      </c>
      <c r="C38" s="233">
        <f t="shared" si="1"/>
        <v>38440</v>
      </c>
      <c r="D38" s="233">
        <f t="shared" si="1"/>
        <v>19104</v>
      </c>
      <c r="E38" s="233">
        <f t="shared" si="1"/>
        <v>0</v>
      </c>
      <c r="F38" s="233">
        <f t="shared" si="1"/>
        <v>0</v>
      </c>
      <c r="G38" s="233">
        <f t="shared" si="1"/>
        <v>0</v>
      </c>
      <c r="H38" s="233">
        <f t="shared" si="1"/>
        <v>0</v>
      </c>
      <c r="I38" s="233">
        <f t="shared" si="1"/>
        <v>0</v>
      </c>
      <c r="J38" s="233">
        <f t="shared" si="1"/>
        <v>0</v>
      </c>
      <c r="K38" s="233">
        <f t="shared" si="1"/>
        <v>0</v>
      </c>
      <c r="L38" s="233">
        <f t="shared" si="1"/>
        <v>0</v>
      </c>
      <c r="M38" s="233">
        <f t="shared" si="1"/>
        <v>0</v>
      </c>
      <c r="N38" s="261">
        <f t="shared" si="1"/>
        <v>70676</v>
      </c>
    </row>
    <row r="40" spans="1:14" x14ac:dyDescent="0.25">
      <c r="N40" s="240">
        <f>SUM(B38:M38)-N38</f>
        <v>0</v>
      </c>
    </row>
  </sheetData>
  <phoneticPr fontId="22" type="noConversion"/>
  <pageMargins left="0.25" right="0.25" top="0.75" bottom="0.75" header="0.3" footer="0.3"/>
  <pageSetup paperSize="9" scale="83" firstPageNumber="42949672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36"/>
  <sheetViews>
    <sheetView topLeftCell="A33" workbookViewId="0">
      <selection activeCell="A33" sqref="A33:XFD62"/>
    </sheetView>
  </sheetViews>
  <sheetFormatPr defaultRowHeight="15" x14ac:dyDescent="0.2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 x14ac:dyDescent="0.25">
      <c r="A1" s="208" t="s">
        <v>128</v>
      </c>
      <c r="B1" s="209"/>
      <c r="C1" s="209"/>
      <c r="D1" s="209"/>
      <c r="E1" s="209"/>
      <c r="F1" s="210"/>
      <c r="G1" s="210" t="str">
        <f>'ВСЕ затраты'!B1</f>
        <v>2023-2024гг.</v>
      </c>
      <c r="H1" s="209"/>
      <c r="I1" s="209"/>
      <c r="J1" s="209"/>
      <c r="K1" s="209"/>
      <c r="L1" s="209"/>
      <c r="M1" s="209"/>
      <c r="N1" s="214"/>
    </row>
    <row r="2" spans="1:14" x14ac:dyDescent="0.25">
      <c r="A2" s="212"/>
      <c r="B2" s="213" t="s">
        <v>4</v>
      </c>
      <c r="C2" s="213" t="s">
        <v>5</v>
      </c>
      <c r="D2" s="213" t="s">
        <v>6</v>
      </c>
      <c r="E2" s="215" t="s">
        <v>7</v>
      </c>
      <c r="F2" s="213" t="s">
        <v>8</v>
      </c>
      <c r="G2" s="215" t="s">
        <v>9</v>
      </c>
      <c r="H2" s="213" t="s">
        <v>14</v>
      </c>
      <c r="I2" s="213" t="s">
        <v>15</v>
      </c>
      <c r="J2" s="213" t="s">
        <v>16</v>
      </c>
      <c r="K2" s="213" t="s">
        <v>17</v>
      </c>
      <c r="L2" s="213" t="s">
        <v>18</v>
      </c>
      <c r="M2" s="213" t="s">
        <v>19</v>
      </c>
      <c r="N2" s="213"/>
    </row>
    <row r="3" spans="1:14" x14ac:dyDescent="0.25">
      <c r="A3" s="217" t="s">
        <v>129</v>
      </c>
      <c r="B3" s="222"/>
      <c r="C3" s="222">
        <v>983.6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18">
        <f t="shared" ref="N3:N32" si="0">SUM(B3:M3)</f>
        <v>983.6</v>
      </c>
    </row>
    <row r="4" spans="1:14" x14ac:dyDescent="0.25">
      <c r="A4" s="217" t="s">
        <v>130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18">
        <f t="shared" si="0"/>
        <v>0</v>
      </c>
    </row>
    <row r="5" spans="1:14" x14ac:dyDescent="0.25">
      <c r="A5" s="217" t="s">
        <v>131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18">
        <f t="shared" si="0"/>
        <v>0</v>
      </c>
    </row>
    <row r="6" spans="1:14" x14ac:dyDescent="0.25">
      <c r="A6" s="226" t="s">
        <v>149</v>
      </c>
      <c r="B6" s="222">
        <v>42500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18">
        <f t="shared" si="0"/>
        <v>42500</v>
      </c>
    </row>
    <row r="7" spans="1:14" x14ac:dyDescent="0.25">
      <c r="A7" s="226" t="s">
        <v>152</v>
      </c>
      <c r="B7" s="222">
        <v>23000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18">
        <f t="shared" si="0"/>
        <v>23000</v>
      </c>
    </row>
    <row r="8" spans="1:14" x14ac:dyDescent="0.25">
      <c r="A8" s="226" t="s">
        <v>157</v>
      </c>
      <c r="B8" s="222">
        <v>800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18">
        <f t="shared" si="0"/>
        <v>800</v>
      </c>
    </row>
    <row r="9" spans="1:14" x14ac:dyDescent="0.25">
      <c r="A9" s="226" t="s">
        <v>158</v>
      </c>
      <c r="B9" s="222">
        <f>250+750+2500</f>
        <v>3500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18">
        <f t="shared" si="0"/>
        <v>3500</v>
      </c>
    </row>
    <row r="10" spans="1:14" x14ac:dyDescent="0.25">
      <c r="A10" s="226" t="s">
        <v>235</v>
      </c>
      <c r="B10" s="222">
        <f>2400+350</f>
        <v>2750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18">
        <f t="shared" si="0"/>
        <v>2750</v>
      </c>
    </row>
    <row r="11" spans="1:14" x14ac:dyDescent="0.25">
      <c r="A11" s="226" t="s">
        <v>160</v>
      </c>
      <c r="B11" s="222">
        <v>2444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18">
        <f t="shared" si="0"/>
        <v>2444</v>
      </c>
    </row>
    <row r="12" spans="1:14" x14ac:dyDescent="0.25">
      <c r="A12" s="226" t="s">
        <v>161</v>
      </c>
      <c r="B12" s="222">
        <v>2300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18">
        <f t="shared" si="0"/>
        <v>2300</v>
      </c>
    </row>
    <row r="13" spans="1:14" x14ac:dyDescent="0.25">
      <c r="A13" s="224" t="s">
        <v>183</v>
      </c>
      <c r="B13" s="222"/>
      <c r="C13" s="222">
        <v>24400</v>
      </c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18">
        <f t="shared" si="0"/>
        <v>24400</v>
      </c>
    </row>
    <row r="14" spans="1:14" ht="26.25" x14ac:dyDescent="0.25">
      <c r="A14" s="224" t="s">
        <v>184</v>
      </c>
      <c r="B14" s="222"/>
      <c r="C14" s="222">
        <v>2642</v>
      </c>
      <c r="D14" s="222"/>
      <c r="E14" s="231"/>
      <c r="F14" s="231"/>
      <c r="G14" s="231"/>
      <c r="H14" s="231"/>
      <c r="I14" s="231"/>
      <c r="J14" s="231"/>
      <c r="K14" s="231"/>
      <c r="L14" s="231"/>
      <c r="M14" s="231"/>
      <c r="N14" s="218">
        <f t="shared" si="0"/>
        <v>2642</v>
      </c>
    </row>
    <row r="15" spans="1:14" x14ac:dyDescent="0.25">
      <c r="A15" s="226" t="s">
        <v>185</v>
      </c>
      <c r="B15" s="222"/>
      <c r="C15" s="222">
        <v>450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18">
        <f t="shared" si="0"/>
        <v>450</v>
      </c>
    </row>
    <row r="16" spans="1:14" x14ac:dyDescent="0.25">
      <c r="A16" s="226" t="s">
        <v>186</v>
      </c>
      <c r="B16" s="222"/>
      <c r="C16" s="222">
        <v>625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18">
        <f t="shared" si="0"/>
        <v>625</v>
      </c>
    </row>
    <row r="17" spans="1:14" x14ac:dyDescent="0.25">
      <c r="A17" s="226" t="s">
        <v>187</v>
      </c>
      <c r="B17" s="222"/>
      <c r="C17" s="222">
        <v>2990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18">
        <f t="shared" si="0"/>
        <v>2990</v>
      </c>
    </row>
    <row r="18" spans="1:14" x14ac:dyDescent="0.25">
      <c r="A18" s="226" t="s">
        <v>188</v>
      </c>
      <c r="B18" s="222"/>
      <c r="C18" s="222">
        <v>480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18">
        <f t="shared" si="0"/>
        <v>480</v>
      </c>
    </row>
    <row r="19" spans="1:14" x14ac:dyDescent="0.25">
      <c r="A19" s="226" t="s">
        <v>189</v>
      </c>
      <c r="B19" s="222"/>
      <c r="C19" s="222">
        <v>2430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18">
        <f t="shared" si="0"/>
        <v>2430</v>
      </c>
    </row>
    <row r="20" spans="1:14" x14ac:dyDescent="0.25">
      <c r="A20" s="260" t="s">
        <v>190</v>
      </c>
      <c r="B20" s="222"/>
      <c r="C20" s="222">
        <v>500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18">
        <f t="shared" si="0"/>
        <v>500</v>
      </c>
    </row>
    <row r="21" spans="1:14" x14ac:dyDescent="0.25">
      <c r="A21" s="260" t="s">
        <v>191</v>
      </c>
      <c r="B21" s="222"/>
      <c r="C21" s="222">
        <v>820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18">
        <f t="shared" si="0"/>
        <v>820</v>
      </c>
    </row>
    <row r="22" spans="1:14" x14ac:dyDescent="0.25">
      <c r="A22" s="226" t="s">
        <v>200</v>
      </c>
      <c r="B22" s="222"/>
      <c r="C22" s="222">
        <v>2102</v>
      </c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18">
        <f t="shared" si="0"/>
        <v>2102</v>
      </c>
    </row>
    <row r="23" spans="1:14" x14ac:dyDescent="0.25">
      <c r="A23" s="260" t="s">
        <v>201</v>
      </c>
      <c r="B23" s="222"/>
      <c r="C23" s="222">
        <v>5727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18">
        <f t="shared" si="0"/>
        <v>5727</v>
      </c>
    </row>
    <row r="24" spans="1:14" x14ac:dyDescent="0.25">
      <c r="A24" s="260" t="s">
        <v>205</v>
      </c>
      <c r="B24" s="222"/>
      <c r="C24" s="222"/>
      <c r="D24" s="222">
        <v>16500</v>
      </c>
      <c r="E24" s="222"/>
      <c r="F24" s="222"/>
      <c r="G24" s="222"/>
      <c r="H24" s="222"/>
      <c r="I24" s="222"/>
      <c r="J24" s="222"/>
      <c r="K24" s="222"/>
      <c r="L24" s="222"/>
      <c r="M24" s="222"/>
      <c r="N24" s="218">
        <f t="shared" si="0"/>
        <v>16500</v>
      </c>
    </row>
    <row r="25" spans="1:14" x14ac:dyDescent="0.25">
      <c r="A25" s="260" t="s">
        <v>209</v>
      </c>
      <c r="B25" s="222"/>
      <c r="C25" s="222"/>
      <c r="D25" s="222">
        <v>230</v>
      </c>
      <c r="E25" s="222"/>
      <c r="F25" s="222"/>
      <c r="G25" s="222"/>
      <c r="H25" s="222"/>
      <c r="I25" s="222"/>
      <c r="J25" s="222"/>
      <c r="K25" s="222"/>
      <c r="L25" s="222"/>
      <c r="M25" s="222"/>
      <c r="N25" s="218">
        <f t="shared" si="0"/>
        <v>230</v>
      </c>
    </row>
    <row r="26" spans="1:14" x14ac:dyDescent="0.25">
      <c r="A26" s="260" t="s">
        <v>210</v>
      </c>
      <c r="B26" s="213"/>
      <c r="C26" s="213"/>
      <c r="D26" s="213">
        <v>1200</v>
      </c>
      <c r="E26" s="215"/>
      <c r="F26" s="213"/>
      <c r="G26" s="215"/>
      <c r="H26" s="213"/>
      <c r="I26" s="215"/>
      <c r="J26" s="213"/>
      <c r="K26" s="213"/>
      <c r="L26" s="213"/>
      <c r="M26" s="213"/>
      <c r="N26" s="218">
        <f t="shared" si="0"/>
        <v>1200</v>
      </c>
    </row>
    <row r="27" spans="1:14" x14ac:dyDescent="0.25">
      <c r="A27" s="260" t="s">
        <v>211</v>
      </c>
      <c r="B27" s="222"/>
      <c r="C27" s="222"/>
      <c r="D27" s="222">
        <v>699</v>
      </c>
      <c r="E27" s="222"/>
      <c r="F27" s="222"/>
      <c r="G27" s="222"/>
      <c r="H27" s="222"/>
      <c r="I27" s="222"/>
      <c r="J27" s="222"/>
      <c r="K27" s="222"/>
      <c r="L27" s="222"/>
      <c r="M27" s="222"/>
      <c r="N27" s="218">
        <f t="shared" si="0"/>
        <v>699</v>
      </c>
    </row>
    <row r="28" spans="1:14" x14ac:dyDescent="0.25">
      <c r="A28" s="260" t="s">
        <v>212</v>
      </c>
      <c r="B28" s="222"/>
      <c r="C28" s="222"/>
      <c r="D28" s="222">
        <v>1600</v>
      </c>
      <c r="E28" s="222"/>
      <c r="F28" s="222"/>
      <c r="G28" s="222"/>
      <c r="H28" s="222"/>
      <c r="I28" s="222"/>
      <c r="J28" s="222"/>
      <c r="K28" s="222"/>
      <c r="L28" s="222"/>
      <c r="M28" s="222"/>
      <c r="N28" s="218">
        <f t="shared" si="0"/>
        <v>1600</v>
      </c>
    </row>
    <row r="29" spans="1:14" x14ac:dyDescent="0.25">
      <c r="A29" s="260" t="s">
        <v>186</v>
      </c>
      <c r="B29" s="222"/>
      <c r="C29" s="222"/>
      <c r="D29" s="222">
        <f>705.96+100</f>
        <v>805.96</v>
      </c>
      <c r="E29" s="222"/>
      <c r="F29" s="222"/>
      <c r="G29" s="222"/>
      <c r="H29" s="222"/>
      <c r="I29" s="222"/>
      <c r="J29" s="222"/>
      <c r="K29" s="222"/>
      <c r="L29" s="222"/>
      <c r="M29" s="222"/>
      <c r="N29" s="218">
        <f t="shared" si="0"/>
        <v>805.96</v>
      </c>
    </row>
    <row r="30" spans="1:14" x14ac:dyDescent="0.25">
      <c r="A30" s="260" t="s">
        <v>213</v>
      </c>
      <c r="B30" s="222"/>
      <c r="C30" s="222"/>
      <c r="D30" s="222">
        <v>4005</v>
      </c>
      <c r="E30" s="222"/>
      <c r="F30" s="222"/>
      <c r="G30" s="222"/>
      <c r="H30" s="222"/>
      <c r="I30" s="222"/>
      <c r="J30" s="222"/>
      <c r="K30" s="222"/>
      <c r="L30" s="222"/>
      <c r="M30" s="222"/>
      <c r="N30" s="218">
        <f t="shared" si="0"/>
        <v>4005</v>
      </c>
    </row>
    <row r="31" spans="1:14" x14ac:dyDescent="0.25">
      <c r="A31" s="260" t="s">
        <v>220</v>
      </c>
      <c r="B31" s="222"/>
      <c r="C31" s="222"/>
      <c r="D31" s="222">
        <v>1379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18">
        <f t="shared" si="0"/>
        <v>1379</v>
      </c>
    </row>
    <row r="32" spans="1:14" x14ac:dyDescent="0.25">
      <c r="A32" s="260" t="s">
        <v>221</v>
      </c>
      <c r="B32" s="222"/>
      <c r="C32" s="222"/>
      <c r="D32" s="222">
        <v>75</v>
      </c>
      <c r="E32" s="222"/>
      <c r="F32" s="222"/>
      <c r="G32" s="222"/>
      <c r="H32" s="222"/>
      <c r="I32" s="222"/>
      <c r="J32" s="222"/>
      <c r="K32" s="222"/>
      <c r="L32" s="222"/>
      <c r="M32" s="222"/>
      <c r="N32" s="218">
        <f t="shared" si="0"/>
        <v>75</v>
      </c>
    </row>
    <row r="33" spans="1:14" x14ac:dyDescent="0.25">
      <c r="A33" s="260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18">
        <f>SUM(B33:M33)</f>
        <v>0</v>
      </c>
    </row>
    <row r="34" spans="1:14" x14ac:dyDescent="0.25">
      <c r="A34" s="208" t="s">
        <v>98</v>
      </c>
      <c r="B34" s="262">
        <f>SUM(B3:B33)</f>
        <v>77294</v>
      </c>
      <c r="C34" s="262">
        <f>SUM(C3:C33)</f>
        <v>44149.599999999999</v>
      </c>
      <c r="D34" s="262">
        <f>SUM(D3:D33)</f>
        <v>26493.96</v>
      </c>
      <c r="E34" s="262">
        <f>SUM(E3:E33)</f>
        <v>0</v>
      </c>
      <c r="F34" s="262">
        <f>SUM(F3:F33)</f>
        <v>0</v>
      </c>
      <c r="G34" s="262">
        <f>SUM(G3:G33)</f>
        <v>0</v>
      </c>
      <c r="H34" s="262">
        <f>SUM(H3:H33)</f>
        <v>0</v>
      </c>
      <c r="I34" s="262">
        <f>SUM(I3:I33)</f>
        <v>0</v>
      </c>
      <c r="J34" s="262">
        <f>SUM(J3:J33)</f>
        <v>0</v>
      </c>
      <c r="K34" s="262">
        <f>SUM(K3:K33)</f>
        <v>0</v>
      </c>
      <c r="L34" s="262">
        <f>SUM(L3:L33)</f>
        <v>0</v>
      </c>
      <c r="M34" s="262">
        <f>SUM(M3:M33)</f>
        <v>0</v>
      </c>
      <c r="N34" s="262">
        <f>SUM(N3:N33)</f>
        <v>147937.56</v>
      </c>
    </row>
    <row r="36" spans="1:14" x14ac:dyDescent="0.25">
      <c r="N36" s="240">
        <f>SUM(B34:M34)-N34</f>
        <v>0</v>
      </c>
    </row>
  </sheetData>
  <phoneticPr fontId="22" type="noConversion"/>
  <pageMargins left="0.25" right="0.25" top="0.75" bottom="0.75" header="0.3" footer="0.3"/>
  <pageSetup paperSize="9" scale="90" firstPageNumber="42949672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68"/>
  <sheetViews>
    <sheetView workbookViewId="0">
      <selection activeCell="R25" sqref="R25"/>
    </sheetView>
  </sheetViews>
  <sheetFormatPr defaultRowHeight="15" x14ac:dyDescent="0.25"/>
  <cols>
    <col min="1" max="1" width="34.42578125" customWidth="1"/>
    <col min="2" max="2" width="9.7109375" customWidth="1"/>
    <col min="3" max="5" width="12.85546875" bestFit="1" customWidth="1"/>
    <col min="6" max="6" width="10.28515625" bestFit="1" customWidth="1"/>
    <col min="8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4" x14ac:dyDescent="0.25">
      <c r="A1" s="235" t="s">
        <v>132</v>
      </c>
      <c r="B1" s="241"/>
      <c r="C1" s="241"/>
      <c r="D1" s="241"/>
      <c r="E1" s="241"/>
      <c r="F1" s="235"/>
      <c r="G1" s="210" t="str">
        <f>'ВСЕ затраты'!B1</f>
        <v>2023-2024гг.</v>
      </c>
      <c r="H1" s="241"/>
      <c r="I1" s="241"/>
      <c r="J1" s="241"/>
      <c r="K1" s="241"/>
      <c r="L1" s="241"/>
      <c r="M1" s="241"/>
      <c r="N1" s="236"/>
    </row>
    <row r="2" spans="1:14" x14ac:dyDescent="0.25">
      <c r="A2" s="236"/>
      <c r="B2" s="263" t="s">
        <v>4</v>
      </c>
      <c r="C2" s="263" t="s">
        <v>5</v>
      </c>
      <c r="D2" s="263" t="s">
        <v>6</v>
      </c>
      <c r="E2" s="263" t="s">
        <v>7</v>
      </c>
      <c r="F2" s="263" t="s">
        <v>8</v>
      </c>
      <c r="G2" s="263" t="s">
        <v>9</v>
      </c>
      <c r="H2" s="254" t="s">
        <v>14</v>
      </c>
      <c r="I2" s="255" t="s">
        <v>15</v>
      </c>
      <c r="J2" s="254" t="s">
        <v>16</v>
      </c>
      <c r="K2" s="254" t="s">
        <v>17</v>
      </c>
      <c r="L2" s="254" t="s">
        <v>18</v>
      </c>
      <c r="M2" s="254" t="s">
        <v>19</v>
      </c>
      <c r="N2" s="231"/>
    </row>
    <row r="3" spans="1:14" x14ac:dyDescent="0.25">
      <c r="A3" s="246" t="s">
        <v>170</v>
      </c>
      <c r="B3" s="264"/>
      <c r="C3" s="264">
        <v>206418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5">
        <f t="shared" ref="N3:N34" si="0">SUM(B3:M3)</f>
        <v>206418</v>
      </c>
    </row>
    <row r="4" spans="1:14" x14ac:dyDescent="0.25">
      <c r="A4" s="241" t="s">
        <v>171</v>
      </c>
      <c r="B4" s="264"/>
      <c r="C4" s="264">
        <v>6179.46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6">
        <f t="shared" si="0"/>
        <v>6179.46</v>
      </c>
    </row>
    <row r="5" spans="1:14" x14ac:dyDescent="0.25">
      <c r="A5" s="246" t="s">
        <v>177</v>
      </c>
      <c r="B5" s="264"/>
      <c r="C5" s="264">
        <v>100000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>
        <f>SUM(B5:M5)</f>
        <v>100000</v>
      </c>
    </row>
    <row r="6" spans="1:14" x14ac:dyDescent="0.25">
      <c r="A6" s="257" t="s">
        <v>176</v>
      </c>
      <c r="B6" s="264"/>
      <c r="C6" s="264">
        <v>19000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>
        <f>SUM(B6:M6)</f>
        <v>19000</v>
      </c>
    </row>
    <row r="7" spans="1:14" x14ac:dyDescent="0.25">
      <c r="A7" s="241" t="s">
        <v>203</v>
      </c>
      <c r="B7" s="266"/>
      <c r="C7" s="266"/>
      <c r="D7" s="266">
        <v>120000</v>
      </c>
      <c r="E7" s="270"/>
      <c r="F7" s="266"/>
      <c r="G7" s="270"/>
      <c r="H7" s="266"/>
      <c r="I7" s="270"/>
      <c r="J7" s="266"/>
      <c r="K7" s="266"/>
      <c r="L7" s="266"/>
      <c r="M7" s="266"/>
      <c r="N7" s="264">
        <f t="shared" si="0"/>
        <v>120000</v>
      </c>
    </row>
    <row r="8" spans="1:14" x14ac:dyDescent="0.25">
      <c r="A8" s="241" t="s">
        <v>204</v>
      </c>
      <c r="B8" s="267"/>
      <c r="C8" s="267"/>
      <c r="D8" s="267">
        <v>6500</v>
      </c>
      <c r="E8" s="267"/>
      <c r="F8" s="267"/>
      <c r="G8" s="267"/>
      <c r="H8" s="267"/>
      <c r="I8" s="267"/>
      <c r="J8" s="266"/>
      <c r="K8" s="266"/>
      <c r="L8" s="266"/>
      <c r="M8" s="266"/>
      <c r="N8" s="264">
        <f t="shared" si="0"/>
        <v>6500</v>
      </c>
    </row>
    <row r="9" spans="1:14" x14ac:dyDescent="0.25">
      <c r="A9" s="246" t="s">
        <v>207</v>
      </c>
      <c r="B9" s="264"/>
      <c r="C9" s="264"/>
      <c r="D9" s="264">
        <v>16820</v>
      </c>
      <c r="E9" s="264"/>
      <c r="F9" s="264"/>
      <c r="G9" s="265"/>
      <c r="H9" s="264"/>
      <c r="I9" s="265"/>
      <c r="J9" s="264"/>
      <c r="K9" s="264"/>
      <c r="L9" s="264"/>
      <c r="M9" s="264"/>
      <c r="N9" s="264">
        <f t="shared" si="0"/>
        <v>16820</v>
      </c>
    </row>
    <row r="10" spans="1:14" x14ac:dyDescent="0.25">
      <c r="A10" s="246" t="s">
        <v>208</v>
      </c>
      <c r="B10" s="264"/>
      <c r="C10" s="264"/>
      <c r="D10" s="264">
        <v>7900</v>
      </c>
      <c r="E10" s="264"/>
      <c r="F10" s="264"/>
      <c r="G10" s="265"/>
      <c r="H10" s="264"/>
      <c r="I10" s="264"/>
      <c r="J10" s="264"/>
      <c r="K10" s="264"/>
      <c r="L10" s="264"/>
      <c r="M10" s="264"/>
      <c r="N10" s="264">
        <f t="shared" si="0"/>
        <v>7900</v>
      </c>
    </row>
    <row r="11" spans="1:14" x14ac:dyDescent="0.25">
      <c r="A11" s="246"/>
      <c r="B11" s="264"/>
      <c r="C11" s="264"/>
      <c r="D11" s="264"/>
      <c r="E11" s="264"/>
      <c r="F11" s="264"/>
      <c r="G11" s="265"/>
      <c r="H11" s="264"/>
      <c r="I11" s="264"/>
      <c r="J11" s="264"/>
      <c r="K11" s="264"/>
      <c r="L11" s="264"/>
      <c r="M11" s="264"/>
      <c r="N11" s="264">
        <f t="shared" si="0"/>
        <v>0</v>
      </c>
    </row>
    <row r="12" spans="1:14" x14ac:dyDescent="0.25">
      <c r="A12" s="241"/>
      <c r="B12" s="264"/>
      <c r="C12" s="264"/>
      <c r="D12" s="264"/>
      <c r="E12" s="264"/>
      <c r="F12" s="264"/>
      <c r="G12" s="265"/>
      <c r="H12" s="264"/>
      <c r="I12" s="265"/>
      <c r="J12" s="264"/>
      <c r="K12" s="264"/>
      <c r="L12" s="264"/>
      <c r="M12" s="264"/>
      <c r="N12" s="264">
        <f t="shared" si="0"/>
        <v>0</v>
      </c>
    </row>
    <row r="13" spans="1:14" x14ac:dyDescent="0.25">
      <c r="A13" s="246"/>
      <c r="B13" s="264"/>
      <c r="C13" s="264"/>
      <c r="D13" s="264"/>
      <c r="E13" s="265"/>
      <c r="F13" s="264"/>
      <c r="G13" s="265"/>
      <c r="H13" s="264"/>
      <c r="I13" s="265"/>
      <c r="J13" s="264"/>
      <c r="K13" s="264"/>
      <c r="L13" s="264"/>
      <c r="M13" s="264"/>
      <c r="N13" s="264">
        <f t="shared" si="0"/>
        <v>0</v>
      </c>
    </row>
    <row r="14" spans="1:14" x14ac:dyDescent="0.25">
      <c r="A14" s="246"/>
      <c r="B14" s="264"/>
      <c r="C14" s="264"/>
      <c r="D14" s="264"/>
      <c r="E14" s="264"/>
      <c r="F14" s="264"/>
      <c r="G14" s="291"/>
      <c r="H14" s="264"/>
      <c r="I14" s="265"/>
      <c r="J14" s="264"/>
      <c r="K14" s="264"/>
      <c r="L14" s="264"/>
      <c r="M14" s="264"/>
      <c r="N14" s="264">
        <f t="shared" si="0"/>
        <v>0</v>
      </c>
    </row>
    <row r="15" spans="1:14" x14ac:dyDescent="0.25">
      <c r="A15" s="246"/>
      <c r="B15" s="264"/>
      <c r="C15" s="264"/>
      <c r="D15" s="264"/>
      <c r="E15" s="264"/>
      <c r="F15" s="264"/>
      <c r="G15" s="265"/>
      <c r="H15" s="264"/>
      <c r="I15" s="264"/>
      <c r="J15" s="264"/>
      <c r="K15" s="264"/>
      <c r="L15" s="264"/>
      <c r="M15" s="264"/>
      <c r="N15" s="264">
        <f t="shared" si="0"/>
        <v>0</v>
      </c>
    </row>
    <row r="16" spans="1:14" x14ac:dyDescent="0.25">
      <c r="A16" s="246"/>
      <c r="B16" s="264"/>
      <c r="C16" s="264"/>
      <c r="D16" s="264"/>
      <c r="E16" s="264"/>
      <c r="F16" s="264"/>
      <c r="G16" s="265"/>
      <c r="H16" s="264"/>
      <c r="I16" s="264"/>
      <c r="J16" s="264"/>
      <c r="K16" s="264"/>
      <c r="L16" s="264"/>
      <c r="M16" s="264"/>
      <c r="N16" s="264">
        <f t="shared" si="0"/>
        <v>0</v>
      </c>
    </row>
    <row r="17" spans="1:14" x14ac:dyDescent="0.25">
      <c r="A17" s="231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20">
        <f t="shared" si="0"/>
        <v>0</v>
      </c>
    </row>
    <row r="18" spans="1:14" x14ac:dyDescent="0.25">
      <c r="A18" s="226"/>
      <c r="B18" s="264"/>
      <c r="C18" s="264"/>
      <c r="D18" s="264"/>
      <c r="E18" s="264"/>
      <c r="F18" s="264"/>
      <c r="G18" s="265"/>
      <c r="H18" s="264"/>
      <c r="I18" s="264"/>
      <c r="J18" s="264"/>
      <c r="K18" s="264"/>
      <c r="L18" s="264"/>
      <c r="M18" s="264"/>
      <c r="N18" s="220">
        <f>SUM(B18:M18)</f>
        <v>0</v>
      </c>
    </row>
    <row r="19" spans="1:14" x14ac:dyDescent="0.25">
      <c r="A19" s="224"/>
      <c r="B19" s="264"/>
      <c r="C19" s="264"/>
      <c r="D19" s="264"/>
      <c r="E19" s="264"/>
      <c r="F19" s="264"/>
      <c r="G19" s="265"/>
      <c r="H19" s="264"/>
      <c r="I19" s="264"/>
      <c r="J19" s="264"/>
      <c r="K19" s="264"/>
      <c r="L19" s="264"/>
      <c r="M19" s="264"/>
      <c r="N19" s="220">
        <f>SUM(B19:M19)</f>
        <v>0</v>
      </c>
    </row>
    <row r="20" spans="1:14" x14ac:dyDescent="0.25">
      <c r="A20" s="231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>
        <f t="shared" si="0"/>
        <v>0</v>
      </c>
    </row>
    <row r="21" spans="1:14" x14ac:dyDescent="0.25">
      <c r="A21" s="246"/>
      <c r="B21" s="264"/>
      <c r="C21" s="264"/>
      <c r="D21" s="266"/>
      <c r="E21" s="264"/>
      <c r="F21" s="264"/>
      <c r="G21" s="264"/>
      <c r="H21" s="264"/>
      <c r="I21" s="264"/>
      <c r="J21" s="264"/>
      <c r="K21" s="264"/>
      <c r="L21" s="264"/>
      <c r="M21" s="264"/>
      <c r="N21" s="264">
        <f t="shared" si="0"/>
        <v>0</v>
      </c>
    </row>
    <row r="22" spans="1:14" x14ac:dyDescent="0.25">
      <c r="A22" s="253"/>
      <c r="B22" s="266"/>
      <c r="C22" s="266"/>
      <c r="D22" s="266"/>
      <c r="E22" s="270"/>
      <c r="F22" s="270"/>
      <c r="G22" s="270"/>
      <c r="H22" s="266"/>
      <c r="I22" s="270"/>
      <c r="J22" s="266"/>
      <c r="K22" s="266"/>
      <c r="L22" s="266"/>
      <c r="M22" s="266"/>
      <c r="N22" s="264">
        <f t="shared" si="0"/>
        <v>0</v>
      </c>
    </row>
    <row r="23" spans="1:14" x14ac:dyDescent="0.25">
      <c r="A23" s="253"/>
      <c r="B23" s="266"/>
      <c r="C23" s="266"/>
      <c r="D23" s="266"/>
      <c r="E23" s="270"/>
      <c r="F23" s="270"/>
      <c r="G23" s="270"/>
      <c r="H23" s="266"/>
      <c r="I23" s="270"/>
      <c r="J23" s="266"/>
      <c r="K23" s="266"/>
      <c r="L23" s="266"/>
      <c r="M23" s="266"/>
      <c r="N23" s="264">
        <f t="shared" si="0"/>
        <v>0</v>
      </c>
    </row>
    <row r="24" spans="1:14" x14ac:dyDescent="0.25">
      <c r="A24" s="241"/>
      <c r="B24" s="266"/>
      <c r="C24" s="266"/>
      <c r="D24" s="266"/>
      <c r="E24" s="270"/>
      <c r="F24" s="266"/>
      <c r="G24" s="270"/>
      <c r="H24" s="266"/>
      <c r="I24" s="270"/>
      <c r="J24" s="266"/>
      <c r="K24" s="266"/>
      <c r="L24" s="266"/>
      <c r="M24" s="266"/>
      <c r="N24" s="264">
        <f t="shared" si="0"/>
        <v>0</v>
      </c>
    </row>
    <row r="25" spans="1:14" x14ac:dyDescent="0.25">
      <c r="A25" s="241"/>
      <c r="B25" s="264"/>
      <c r="C25" s="264"/>
      <c r="D25" s="264"/>
      <c r="E25" s="264"/>
      <c r="F25" s="264"/>
      <c r="G25" s="264"/>
      <c r="H25" s="266"/>
      <c r="I25" s="264"/>
      <c r="J25" s="264"/>
      <c r="K25" s="264"/>
      <c r="L25" s="264"/>
      <c r="M25" s="264"/>
      <c r="N25" s="264">
        <f t="shared" si="0"/>
        <v>0</v>
      </c>
    </row>
    <row r="26" spans="1:14" x14ac:dyDescent="0.25">
      <c r="A26" s="246"/>
      <c r="B26" s="264"/>
      <c r="C26" s="264"/>
      <c r="D26" s="264"/>
      <c r="E26" s="264"/>
      <c r="F26" s="264"/>
      <c r="G26" s="264"/>
      <c r="H26" s="264"/>
      <c r="I26" s="264"/>
      <c r="J26" s="264"/>
      <c r="K26" s="266"/>
      <c r="L26" s="266"/>
      <c r="M26" s="266"/>
      <c r="N26" s="264">
        <f t="shared" si="0"/>
        <v>0</v>
      </c>
    </row>
    <row r="27" spans="1:14" x14ac:dyDescent="0.25">
      <c r="A27" s="268"/>
      <c r="B27" s="266"/>
      <c r="C27" s="269"/>
      <c r="D27" s="269"/>
      <c r="E27" s="270"/>
      <c r="F27" s="266"/>
      <c r="G27" s="270"/>
      <c r="H27" s="266"/>
      <c r="I27" s="270"/>
      <c r="J27" s="266"/>
      <c r="K27" s="266"/>
      <c r="L27" s="266"/>
      <c r="M27" s="266"/>
      <c r="N27" s="264">
        <f t="shared" si="0"/>
        <v>0</v>
      </c>
    </row>
    <row r="28" spans="1:14" x14ac:dyDescent="0.25">
      <c r="A28" s="224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20">
        <f>SUM(B28:M28)</f>
        <v>0</v>
      </c>
    </row>
    <row r="29" spans="1:14" x14ac:dyDescent="0.25">
      <c r="A29" s="245"/>
      <c r="B29" s="266"/>
      <c r="C29" s="266"/>
      <c r="D29" s="266"/>
      <c r="E29" s="270"/>
      <c r="F29" s="266"/>
      <c r="G29" s="270"/>
      <c r="H29" s="266"/>
      <c r="I29" s="270"/>
      <c r="J29" s="266"/>
      <c r="K29" s="266"/>
      <c r="L29" s="266"/>
      <c r="M29" s="266"/>
      <c r="N29" s="264">
        <f t="shared" si="0"/>
        <v>0</v>
      </c>
    </row>
    <row r="30" spans="1:14" x14ac:dyDescent="0.25">
      <c r="A30" s="271"/>
      <c r="B30" s="264"/>
      <c r="C30" s="264"/>
      <c r="D30" s="264"/>
      <c r="E30" s="265"/>
      <c r="F30" s="264"/>
      <c r="G30" s="265"/>
      <c r="H30" s="264"/>
      <c r="I30" s="265"/>
      <c r="J30" s="264"/>
      <c r="K30" s="264"/>
      <c r="L30" s="264"/>
      <c r="M30" s="264"/>
      <c r="N30" s="264">
        <f t="shared" si="0"/>
        <v>0</v>
      </c>
    </row>
    <row r="31" spans="1:14" hidden="1" x14ac:dyDescent="0.25">
      <c r="A31" s="271"/>
      <c r="B31" s="266"/>
      <c r="C31" s="266"/>
      <c r="D31" s="266"/>
      <c r="E31" s="270"/>
      <c r="F31" s="266"/>
      <c r="G31" s="270"/>
      <c r="H31" s="266"/>
      <c r="I31" s="270"/>
      <c r="J31" s="266"/>
      <c r="K31" s="266"/>
      <c r="L31" s="266"/>
      <c r="M31" s="266"/>
      <c r="N31" s="264">
        <f t="shared" si="0"/>
        <v>0</v>
      </c>
    </row>
    <row r="32" spans="1:14" hidden="1" x14ac:dyDescent="0.25">
      <c r="A32" s="271"/>
      <c r="B32" s="266"/>
      <c r="C32" s="266"/>
      <c r="D32" s="266"/>
      <c r="E32" s="270"/>
      <c r="F32" s="266"/>
      <c r="G32" s="270"/>
      <c r="H32" s="266"/>
      <c r="I32" s="270"/>
      <c r="J32" s="266"/>
      <c r="K32" s="266"/>
      <c r="L32" s="266"/>
      <c r="M32" s="266"/>
      <c r="N32" s="264">
        <f t="shared" si="0"/>
        <v>0</v>
      </c>
    </row>
    <row r="33" spans="1:14" hidden="1" x14ac:dyDescent="0.25">
      <c r="A33" s="271"/>
      <c r="B33" s="266"/>
      <c r="C33" s="266"/>
      <c r="D33" s="266"/>
      <c r="E33" s="270"/>
      <c r="F33" s="266"/>
      <c r="G33" s="270"/>
      <c r="H33" s="266"/>
      <c r="I33" s="270"/>
      <c r="J33" s="266"/>
      <c r="K33" s="266"/>
      <c r="L33" s="266"/>
      <c r="M33" s="266"/>
      <c r="N33" s="264">
        <f t="shared" si="0"/>
        <v>0</v>
      </c>
    </row>
    <row r="34" spans="1:14" hidden="1" x14ac:dyDescent="0.25">
      <c r="A34" s="272"/>
      <c r="B34" s="266"/>
      <c r="C34" s="266"/>
      <c r="D34" s="266"/>
      <c r="E34" s="270"/>
      <c r="F34" s="266"/>
      <c r="G34" s="270"/>
      <c r="H34" s="266"/>
      <c r="I34" s="270"/>
      <c r="J34" s="266"/>
      <c r="K34" s="266"/>
      <c r="L34" s="266"/>
      <c r="M34" s="266"/>
      <c r="N34" s="264">
        <f t="shared" si="0"/>
        <v>0</v>
      </c>
    </row>
    <row r="35" spans="1:14" hidden="1" x14ac:dyDescent="0.25">
      <c r="A35" s="272"/>
      <c r="B35" s="266"/>
      <c r="C35" s="266"/>
      <c r="D35" s="266"/>
      <c r="E35" s="270"/>
      <c r="F35" s="266"/>
      <c r="G35" s="270"/>
      <c r="H35" s="266"/>
      <c r="I35" s="270"/>
      <c r="J35" s="266"/>
      <c r="K35" s="266"/>
      <c r="L35" s="266"/>
      <c r="M35" s="266"/>
      <c r="N35" s="264">
        <f t="shared" ref="N35:N65" si="1">SUM(B35:M35)</f>
        <v>0</v>
      </c>
    </row>
    <row r="36" spans="1:14" hidden="1" x14ac:dyDescent="0.25">
      <c r="A36" s="272"/>
      <c r="B36" s="266"/>
      <c r="C36" s="266"/>
      <c r="D36" s="266"/>
      <c r="E36" s="270"/>
      <c r="F36" s="266"/>
      <c r="G36" s="270"/>
      <c r="H36" s="266"/>
      <c r="I36" s="270"/>
      <c r="J36" s="266"/>
      <c r="K36" s="266"/>
      <c r="L36" s="266"/>
      <c r="M36" s="266"/>
      <c r="N36" s="264">
        <f t="shared" si="1"/>
        <v>0</v>
      </c>
    </row>
    <row r="37" spans="1:14" hidden="1" x14ac:dyDescent="0.25">
      <c r="A37" s="272"/>
      <c r="B37" s="266"/>
      <c r="C37" s="266"/>
      <c r="D37" s="266"/>
      <c r="E37" s="266"/>
      <c r="F37" s="266"/>
      <c r="G37" s="270"/>
      <c r="H37" s="266"/>
      <c r="I37" s="270"/>
      <c r="J37" s="266"/>
      <c r="K37" s="266"/>
      <c r="L37" s="266"/>
      <c r="M37" s="266"/>
      <c r="N37" s="264">
        <f t="shared" si="1"/>
        <v>0</v>
      </c>
    </row>
    <row r="38" spans="1:14" hidden="1" x14ac:dyDescent="0.25">
      <c r="A38" s="272"/>
      <c r="B38" s="266"/>
      <c r="C38" s="266"/>
      <c r="D38" s="266"/>
      <c r="E38" s="270"/>
      <c r="F38" s="266"/>
      <c r="G38" s="270"/>
      <c r="H38" s="266"/>
      <c r="I38" s="270"/>
      <c r="J38" s="266"/>
      <c r="K38" s="266"/>
      <c r="L38" s="266"/>
      <c r="M38" s="266"/>
      <c r="N38" s="264">
        <f t="shared" si="1"/>
        <v>0</v>
      </c>
    </row>
    <row r="39" spans="1:14" hidden="1" x14ac:dyDescent="0.25">
      <c r="A39" s="272"/>
      <c r="B39" s="266"/>
      <c r="C39" s="266"/>
      <c r="D39" s="266"/>
      <c r="E39" s="270"/>
      <c r="F39" s="266"/>
      <c r="G39" s="270"/>
      <c r="H39" s="266"/>
      <c r="I39" s="270"/>
      <c r="J39" s="266"/>
      <c r="K39" s="266"/>
      <c r="L39" s="266"/>
      <c r="M39" s="266"/>
      <c r="N39" s="264">
        <f t="shared" si="1"/>
        <v>0</v>
      </c>
    </row>
    <row r="40" spans="1:14" hidden="1" x14ac:dyDescent="0.25">
      <c r="A40" s="272"/>
      <c r="B40" s="266"/>
      <c r="C40" s="266"/>
      <c r="D40" s="266"/>
      <c r="E40" s="270"/>
      <c r="F40" s="266"/>
      <c r="G40" s="270"/>
      <c r="H40" s="266"/>
      <c r="I40" s="270"/>
      <c r="J40" s="266"/>
      <c r="K40" s="266"/>
      <c r="L40" s="266"/>
      <c r="M40" s="266"/>
      <c r="N40" s="264">
        <f t="shared" si="1"/>
        <v>0</v>
      </c>
    </row>
    <row r="41" spans="1:14" hidden="1" x14ac:dyDescent="0.25">
      <c r="A41" s="272"/>
      <c r="B41" s="266"/>
      <c r="C41" s="266"/>
      <c r="D41" s="266"/>
      <c r="E41" s="270"/>
      <c r="F41" s="266"/>
      <c r="G41" s="270"/>
      <c r="H41" s="266"/>
      <c r="I41" s="270"/>
      <c r="J41" s="266"/>
      <c r="K41" s="266"/>
      <c r="L41" s="266"/>
      <c r="M41" s="266"/>
      <c r="N41" s="264">
        <f t="shared" si="1"/>
        <v>0</v>
      </c>
    </row>
    <row r="42" spans="1:14" hidden="1" x14ac:dyDescent="0.25">
      <c r="A42" s="272"/>
      <c r="B42" s="266"/>
      <c r="C42" s="266"/>
      <c r="D42" s="266"/>
      <c r="E42" s="270"/>
      <c r="F42" s="266"/>
      <c r="G42" s="270"/>
      <c r="H42" s="266"/>
      <c r="I42" s="270"/>
      <c r="J42" s="266"/>
      <c r="K42" s="266"/>
      <c r="L42" s="266"/>
      <c r="M42" s="266"/>
      <c r="N42" s="264">
        <f t="shared" si="1"/>
        <v>0</v>
      </c>
    </row>
    <row r="43" spans="1:14" hidden="1" x14ac:dyDescent="0.25">
      <c r="A43" s="272"/>
      <c r="B43" s="266"/>
      <c r="C43" s="266"/>
      <c r="D43" s="266"/>
      <c r="E43" s="270"/>
      <c r="F43" s="266"/>
      <c r="G43" s="270"/>
      <c r="H43" s="266"/>
      <c r="I43" s="270"/>
      <c r="J43" s="266"/>
      <c r="K43" s="266"/>
      <c r="L43" s="266"/>
      <c r="M43" s="266"/>
      <c r="N43" s="264">
        <f t="shared" si="1"/>
        <v>0</v>
      </c>
    </row>
    <row r="44" spans="1:14" hidden="1" x14ac:dyDescent="0.25">
      <c r="A44" s="272"/>
      <c r="B44" s="266"/>
      <c r="C44" s="266"/>
      <c r="D44" s="266"/>
      <c r="E44" s="270"/>
      <c r="F44" s="266"/>
      <c r="G44" s="270"/>
      <c r="H44" s="266"/>
      <c r="I44" s="270"/>
      <c r="J44" s="266"/>
      <c r="K44" s="266"/>
      <c r="L44" s="266"/>
      <c r="M44" s="266"/>
      <c r="N44" s="264">
        <f t="shared" si="1"/>
        <v>0</v>
      </c>
    </row>
    <row r="45" spans="1:14" hidden="1" x14ac:dyDescent="0.25">
      <c r="A45" s="272"/>
      <c r="B45" s="266"/>
      <c r="C45" s="266"/>
      <c r="D45" s="266"/>
      <c r="E45" s="270"/>
      <c r="F45" s="266"/>
      <c r="G45" s="270"/>
      <c r="H45" s="266"/>
      <c r="I45" s="270"/>
      <c r="J45" s="266"/>
      <c r="K45" s="266"/>
      <c r="L45" s="266"/>
      <c r="M45" s="266"/>
      <c r="N45" s="264">
        <f t="shared" si="1"/>
        <v>0</v>
      </c>
    </row>
    <row r="46" spans="1:14" hidden="1" x14ac:dyDescent="0.25">
      <c r="A46" s="272"/>
      <c r="B46" s="266"/>
      <c r="C46" s="266"/>
      <c r="D46" s="266"/>
      <c r="E46" s="270"/>
      <c r="F46" s="266"/>
      <c r="G46" s="270"/>
      <c r="H46" s="266"/>
      <c r="I46" s="270"/>
      <c r="J46" s="266"/>
      <c r="K46" s="266"/>
      <c r="L46" s="266"/>
      <c r="M46" s="266"/>
      <c r="N46" s="264">
        <f t="shared" si="1"/>
        <v>0</v>
      </c>
    </row>
    <row r="47" spans="1:14" hidden="1" x14ac:dyDescent="0.25">
      <c r="A47" s="272"/>
      <c r="B47" s="266"/>
      <c r="C47" s="266"/>
      <c r="D47" s="266"/>
      <c r="E47" s="270"/>
      <c r="F47" s="266"/>
      <c r="G47" s="270"/>
      <c r="H47" s="266"/>
      <c r="I47" s="270"/>
      <c r="J47" s="266"/>
      <c r="K47" s="266"/>
      <c r="L47" s="266"/>
      <c r="M47" s="266"/>
      <c r="N47" s="264">
        <f t="shared" si="1"/>
        <v>0</v>
      </c>
    </row>
    <row r="48" spans="1:14" hidden="1" x14ac:dyDescent="0.25">
      <c r="A48" s="272"/>
      <c r="B48" s="266"/>
      <c r="C48" s="266"/>
      <c r="D48" s="266"/>
      <c r="E48" s="270"/>
      <c r="F48" s="266"/>
      <c r="G48" s="270"/>
      <c r="H48" s="266"/>
      <c r="I48" s="270"/>
      <c r="J48" s="266"/>
      <c r="K48" s="266"/>
      <c r="L48" s="266"/>
      <c r="M48" s="266"/>
      <c r="N48" s="264">
        <f t="shared" si="1"/>
        <v>0</v>
      </c>
    </row>
    <row r="49" spans="1:14" hidden="1" x14ac:dyDescent="0.25">
      <c r="A49" s="272"/>
      <c r="B49" s="266"/>
      <c r="C49" s="266"/>
      <c r="D49" s="266"/>
      <c r="E49" s="270"/>
      <c r="F49" s="266"/>
      <c r="G49" s="270"/>
      <c r="H49" s="266"/>
      <c r="I49" s="270"/>
      <c r="J49" s="266"/>
      <c r="K49" s="266"/>
      <c r="L49" s="266"/>
      <c r="M49" s="266"/>
      <c r="N49" s="264">
        <f t="shared" si="1"/>
        <v>0</v>
      </c>
    </row>
    <row r="50" spans="1:14" hidden="1" x14ac:dyDescent="0.25">
      <c r="A50" s="272"/>
      <c r="B50" s="266"/>
      <c r="C50" s="266"/>
      <c r="D50" s="266"/>
      <c r="E50" s="270"/>
      <c r="F50" s="266"/>
      <c r="G50" s="270"/>
      <c r="H50" s="266"/>
      <c r="I50" s="270"/>
      <c r="J50" s="266"/>
      <c r="K50" s="266"/>
      <c r="L50" s="266"/>
      <c r="M50" s="266"/>
      <c r="N50" s="264">
        <f t="shared" si="1"/>
        <v>0</v>
      </c>
    </row>
    <row r="51" spans="1:14" hidden="1" x14ac:dyDescent="0.25">
      <c r="A51" s="272"/>
      <c r="B51" s="266"/>
      <c r="C51" s="266"/>
      <c r="D51" s="266"/>
      <c r="E51" s="270"/>
      <c r="F51" s="266"/>
      <c r="G51" s="270"/>
      <c r="H51" s="266"/>
      <c r="I51" s="270"/>
      <c r="J51" s="266"/>
      <c r="K51" s="266"/>
      <c r="L51" s="266"/>
      <c r="M51" s="266"/>
      <c r="N51" s="264">
        <f t="shared" si="1"/>
        <v>0</v>
      </c>
    </row>
    <row r="52" spans="1:14" hidden="1" x14ac:dyDescent="0.25">
      <c r="A52" s="272"/>
      <c r="B52" s="266"/>
      <c r="C52" s="266"/>
      <c r="D52" s="266"/>
      <c r="E52" s="270"/>
      <c r="F52" s="266"/>
      <c r="G52" s="270"/>
      <c r="H52" s="266"/>
      <c r="I52" s="270"/>
      <c r="J52" s="266"/>
      <c r="K52" s="266"/>
      <c r="L52" s="266"/>
      <c r="M52" s="266"/>
      <c r="N52" s="264">
        <f t="shared" si="1"/>
        <v>0</v>
      </c>
    </row>
    <row r="53" spans="1:14" hidden="1" x14ac:dyDescent="0.25">
      <c r="A53" s="246"/>
      <c r="B53" s="264"/>
      <c r="C53" s="264"/>
      <c r="D53" s="264"/>
      <c r="E53" s="264"/>
      <c r="F53" s="264"/>
      <c r="G53" s="265"/>
      <c r="H53" s="264"/>
      <c r="I53" s="265"/>
      <c r="J53" s="264"/>
      <c r="K53" s="264"/>
      <c r="L53" s="264"/>
      <c r="M53" s="264"/>
      <c r="N53" s="220">
        <f t="shared" si="1"/>
        <v>0</v>
      </c>
    </row>
    <row r="54" spans="1:14" hidden="1" x14ac:dyDescent="0.25">
      <c r="A54" s="241"/>
      <c r="B54" s="266"/>
      <c r="C54" s="266"/>
      <c r="D54" s="266"/>
      <c r="E54" s="270"/>
      <c r="F54" s="266"/>
      <c r="G54" s="270"/>
      <c r="H54" s="266"/>
      <c r="I54" s="270"/>
      <c r="J54" s="266"/>
      <c r="K54" s="266"/>
      <c r="L54" s="266"/>
      <c r="M54" s="266"/>
      <c r="N54" s="264">
        <f t="shared" si="1"/>
        <v>0</v>
      </c>
    </row>
    <row r="55" spans="1:14" hidden="1" x14ac:dyDescent="0.25">
      <c r="A55" s="226"/>
      <c r="B55" s="264"/>
      <c r="C55" s="264"/>
      <c r="D55" s="264"/>
      <c r="E55" s="264"/>
      <c r="F55" s="292"/>
      <c r="G55" s="265"/>
      <c r="H55" s="264"/>
      <c r="I55" s="265"/>
      <c r="J55" s="264"/>
      <c r="K55" s="264"/>
      <c r="L55" s="264"/>
      <c r="M55" s="264"/>
      <c r="N55" s="264">
        <f t="shared" si="1"/>
        <v>0</v>
      </c>
    </row>
    <row r="56" spans="1:14" hidden="1" x14ac:dyDescent="0.25">
      <c r="A56" s="256"/>
      <c r="B56" s="264"/>
      <c r="C56" s="264"/>
      <c r="D56" s="264"/>
      <c r="E56" s="264"/>
      <c r="F56" s="265"/>
      <c r="G56" s="265"/>
      <c r="H56" s="264"/>
      <c r="I56" s="265"/>
      <c r="J56" s="264"/>
      <c r="K56" s="264"/>
      <c r="L56" s="266"/>
      <c r="M56" s="264"/>
      <c r="N56" s="264">
        <f t="shared" si="1"/>
        <v>0</v>
      </c>
    </row>
    <row r="57" spans="1:14" hidden="1" x14ac:dyDescent="0.25">
      <c r="A57" s="226"/>
      <c r="B57" s="264"/>
      <c r="C57" s="264"/>
      <c r="D57" s="264"/>
      <c r="E57" s="264"/>
      <c r="F57" s="292"/>
      <c r="G57" s="265"/>
      <c r="H57" s="264"/>
      <c r="I57" s="265"/>
      <c r="J57" s="264"/>
      <c r="K57" s="264"/>
      <c r="L57" s="266"/>
      <c r="M57" s="264"/>
      <c r="N57" s="264">
        <f t="shared" si="1"/>
        <v>0</v>
      </c>
    </row>
    <row r="58" spans="1:14" hidden="1" x14ac:dyDescent="0.25">
      <c r="A58" s="231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>
        <f t="shared" si="1"/>
        <v>0</v>
      </c>
    </row>
    <row r="59" spans="1:14" hidden="1" x14ac:dyDescent="0.25">
      <c r="A59" s="231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>
        <f t="shared" si="1"/>
        <v>0</v>
      </c>
    </row>
    <row r="60" spans="1:14" hidden="1" x14ac:dyDescent="0.25">
      <c r="A60" s="231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>
        <f t="shared" si="1"/>
        <v>0</v>
      </c>
    </row>
    <row r="61" spans="1:14" hidden="1" x14ac:dyDescent="0.25">
      <c r="A61" s="246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>
        <f t="shared" si="1"/>
        <v>0</v>
      </c>
    </row>
    <row r="62" spans="1:14" hidden="1" x14ac:dyDescent="0.25">
      <c r="A62" s="246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>
        <f t="shared" si="1"/>
        <v>0</v>
      </c>
    </row>
    <row r="63" spans="1:14" hidden="1" x14ac:dyDescent="0.25">
      <c r="A63" s="246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>
        <f t="shared" si="1"/>
        <v>0</v>
      </c>
    </row>
    <row r="64" spans="1:14" x14ac:dyDescent="0.25">
      <c r="A64" s="253"/>
      <c r="B64" s="266"/>
      <c r="C64" s="266"/>
      <c r="D64" s="266"/>
      <c r="E64" s="270"/>
      <c r="F64" s="264"/>
      <c r="G64" s="270"/>
      <c r="H64" s="266"/>
      <c r="I64" s="270"/>
      <c r="J64" s="266"/>
      <c r="K64" s="266"/>
      <c r="L64" s="266"/>
      <c r="M64" s="266"/>
      <c r="N64" s="264">
        <f t="shared" si="1"/>
        <v>0</v>
      </c>
    </row>
    <row r="65" spans="1:14" x14ac:dyDescent="0.25">
      <c r="A65" s="187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4">
        <f t="shared" si="1"/>
        <v>0</v>
      </c>
    </row>
    <row r="66" spans="1:14" x14ac:dyDescent="0.25">
      <c r="A66" s="235" t="s">
        <v>98</v>
      </c>
      <c r="B66" s="247">
        <f t="shared" ref="B66:N66" si="2">SUM(B3:B65)</f>
        <v>0</v>
      </c>
      <c r="C66" s="247">
        <f t="shared" si="2"/>
        <v>331597.45999999996</v>
      </c>
      <c r="D66" s="247">
        <f t="shared" si="2"/>
        <v>151220</v>
      </c>
      <c r="E66" s="247">
        <f t="shared" si="2"/>
        <v>0</v>
      </c>
      <c r="F66" s="247">
        <f t="shared" si="2"/>
        <v>0</v>
      </c>
      <c r="G66" s="247">
        <f t="shared" si="2"/>
        <v>0</v>
      </c>
      <c r="H66" s="247">
        <f t="shared" si="2"/>
        <v>0</v>
      </c>
      <c r="I66" s="247">
        <f t="shared" si="2"/>
        <v>0</v>
      </c>
      <c r="J66" s="247">
        <f t="shared" si="2"/>
        <v>0</v>
      </c>
      <c r="K66" s="247">
        <f t="shared" si="2"/>
        <v>0</v>
      </c>
      <c r="L66" s="247">
        <f t="shared" si="2"/>
        <v>0</v>
      </c>
      <c r="M66" s="247">
        <f t="shared" si="2"/>
        <v>0</v>
      </c>
      <c r="N66" s="247">
        <f t="shared" si="2"/>
        <v>482817.45999999996</v>
      </c>
    </row>
    <row r="68" spans="1:14" x14ac:dyDescent="0.25">
      <c r="N68" s="240">
        <f>SUM(B66:M66)-N66</f>
        <v>0</v>
      </c>
    </row>
  </sheetData>
  <phoneticPr fontId="22" type="noConversion"/>
  <pageMargins left="0.25" right="0.25" top="0.75" bottom="0.75" header="0.3" footer="0.3"/>
  <pageSetup paperSize="9" scale="82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87"/>
  <sheetViews>
    <sheetView tabSelected="1" view="pageBreakPreview" topLeftCell="A21" zoomScale="90" zoomScaleNormal="100" zoomScaleSheetLayoutView="90" workbookViewId="0">
      <selection activeCell="X42" sqref="X42"/>
    </sheetView>
  </sheetViews>
  <sheetFormatPr defaultRowHeight="15" x14ac:dyDescent="0.25"/>
  <cols>
    <col min="1" max="1" width="38.5703125" style="95" customWidth="1"/>
    <col min="2" max="2" width="14.7109375" style="96" bestFit="1" customWidth="1"/>
    <col min="3" max="3" width="13.5703125" style="96" customWidth="1"/>
    <col min="4" max="4" width="13.5703125" style="96" bestFit="1" customWidth="1"/>
    <col min="5" max="5" width="13.140625" style="96" customWidth="1"/>
    <col min="6" max="6" width="16.42578125" style="96" bestFit="1" customWidth="1"/>
    <col min="7" max="15" width="0.140625" style="97" hidden="1" customWidth="1"/>
    <col min="16" max="16" width="14.7109375" style="96" bestFit="1" customWidth="1"/>
    <col min="17" max="17" width="15.28515625" style="96" customWidth="1"/>
    <col min="18" max="18" width="16" style="96" bestFit="1" customWidth="1"/>
    <col min="19" max="19" width="15.5703125" bestFit="1" customWidth="1"/>
  </cols>
  <sheetData>
    <row r="1" spans="1:19" ht="18" customHeight="1" x14ac:dyDescent="0.25">
      <c r="A1" s="98" t="s">
        <v>52</v>
      </c>
      <c r="B1" s="99" t="s">
        <v>139</v>
      </c>
      <c r="C1" s="97"/>
      <c r="D1" s="97"/>
      <c r="E1" s="97"/>
      <c r="F1" s="97"/>
      <c r="H1" s="273"/>
      <c r="P1" s="97"/>
      <c r="Q1" s="97"/>
      <c r="R1" s="97"/>
    </row>
    <row r="2" spans="1:19" ht="21" customHeight="1" x14ac:dyDescent="0.25">
      <c r="A2" s="100" t="s">
        <v>202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3</v>
      </c>
      <c r="R2" s="96" t="s">
        <v>53</v>
      </c>
    </row>
    <row r="3" spans="1:19" ht="37.5" customHeight="1" x14ac:dyDescent="0.3">
      <c r="A3" s="9" t="s">
        <v>1</v>
      </c>
      <c r="B3" s="356" t="s">
        <v>2</v>
      </c>
      <c r="C3" s="356" t="s">
        <v>54</v>
      </c>
      <c r="D3" s="354" t="s">
        <v>4</v>
      </c>
      <c r="E3" s="354" t="s">
        <v>5</v>
      </c>
      <c r="F3" s="354" t="s">
        <v>6</v>
      </c>
      <c r="G3" s="354" t="s">
        <v>7</v>
      </c>
      <c r="H3" s="354" t="s">
        <v>8</v>
      </c>
      <c r="I3" s="354" t="s">
        <v>9</v>
      </c>
      <c r="J3" s="354" t="s">
        <v>14</v>
      </c>
      <c r="K3" s="354" t="s">
        <v>15</v>
      </c>
      <c r="L3" s="354" t="s">
        <v>16</v>
      </c>
      <c r="M3" s="354" t="s">
        <v>17</v>
      </c>
      <c r="N3" s="354" t="s">
        <v>18</v>
      </c>
      <c r="O3" s="354" t="s">
        <v>19</v>
      </c>
      <c r="P3" s="356" t="str">
        <f>CONCATENATE("Итого за ",Q2," мес.")</f>
        <v>Итого за 3 мес.</v>
      </c>
      <c r="Q3" s="356" t="str">
        <f>CONCATENATE("Бюджет          за ",Q2," мес.")</f>
        <v>Бюджет          за 3 мес.</v>
      </c>
      <c r="R3" s="359" t="s">
        <v>12</v>
      </c>
    </row>
    <row r="4" spans="1:19" ht="15" customHeight="1" x14ac:dyDescent="0.25">
      <c r="A4" s="102"/>
      <c r="B4" s="357"/>
      <c r="C4" s="357"/>
      <c r="D4" s="355"/>
      <c r="E4" s="355"/>
      <c r="F4" s="355"/>
      <c r="G4" s="355"/>
      <c r="H4" s="355" t="s">
        <v>8</v>
      </c>
      <c r="I4" s="355" t="s">
        <v>9</v>
      </c>
      <c r="J4" s="355" t="s">
        <v>14</v>
      </c>
      <c r="K4" s="355" t="s">
        <v>15</v>
      </c>
      <c r="L4" s="355" t="s">
        <v>16</v>
      </c>
      <c r="M4" s="355" t="s">
        <v>17</v>
      </c>
      <c r="N4" s="355" t="s">
        <v>18</v>
      </c>
      <c r="O4" s="355" t="s">
        <v>19</v>
      </c>
      <c r="P4" s="357"/>
      <c r="Q4" s="358"/>
      <c r="R4" s="360"/>
    </row>
    <row r="5" spans="1:19" ht="15" customHeight="1" x14ac:dyDescent="0.25">
      <c r="A5" s="106" t="s">
        <v>55</v>
      </c>
      <c r="B5" s="107">
        <v>2640313.41</v>
      </c>
      <c r="C5" s="103"/>
      <c r="D5" s="280">
        <f>D6*100/$C$6</f>
        <v>92.075588770342691</v>
      </c>
      <c r="E5" s="280">
        <f>E6*100/$C$6</f>
        <v>95.032561876198429</v>
      </c>
      <c r="F5" s="280">
        <f>F6*100/$C$6</f>
        <v>100.01262795614336</v>
      </c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 x14ac:dyDescent="0.25">
      <c r="A6" s="106" t="s">
        <v>56</v>
      </c>
      <c r="B6" s="107">
        <v>40678000</v>
      </c>
      <c r="C6" s="109">
        <f>B6/12</f>
        <v>3389833.3333333335</v>
      </c>
      <c r="D6" s="110">
        <v>3121209</v>
      </c>
      <c r="E6" s="110">
        <f>3221445.46</f>
        <v>3221445.46</v>
      </c>
      <c r="F6" s="110">
        <f>3409071.4-18810</f>
        <v>3390261.4</v>
      </c>
      <c r="G6" s="111"/>
      <c r="H6" s="112"/>
      <c r="I6" s="113"/>
      <c r="J6" s="113"/>
      <c r="K6" s="110"/>
      <c r="L6" s="114"/>
      <c r="M6" s="110"/>
      <c r="N6" s="110"/>
      <c r="O6" s="114"/>
      <c r="P6" s="115">
        <f t="shared" ref="P6:P12" si="0">SUM(D6:O6)</f>
        <v>9732915.8599999994</v>
      </c>
      <c r="Q6" s="116">
        <f>C6*Q2</f>
        <v>10169500</v>
      </c>
      <c r="R6" s="117">
        <f>P6-Q6</f>
        <v>-436584.1400000006</v>
      </c>
    </row>
    <row r="7" spans="1:19" ht="15.75" x14ac:dyDescent="0.25">
      <c r="A7" s="361" t="s">
        <v>57</v>
      </c>
      <c r="B7" s="363">
        <v>1000000</v>
      </c>
      <c r="C7" s="365">
        <f>B7/12</f>
        <v>83333.333333333328</v>
      </c>
      <c r="D7" s="110">
        <v>92724</v>
      </c>
      <c r="E7" s="110">
        <v>302950</v>
      </c>
      <c r="F7" s="110">
        <v>253200</v>
      </c>
      <c r="G7" s="111"/>
      <c r="H7" s="112"/>
      <c r="I7" s="113"/>
      <c r="J7" s="110"/>
      <c r="K7" s="110"/>
      <c r="L7" s="110"/>
      <c r="M7" s="110"/>
      <c r="N7" s="110"/>
      <c r="O7" s="114"/>
      <c r="P7" s="115">
        <f t="shared" si="0"/>
        <v>648874</v>
      </c>
      <c r="Q7" s="367">
        <f>C7*Q2</f>
        <v>250000</v>
      </c>
      <c r="R7" s="369">
        <f>P7-Q7+P8</f>
        <v>398874</v>
      </c>
    </row>
    <row r="8" spans="1:19" ht="15.75" x14ac:dyDescent="0.25">
      <c r="A8" s="362"/>
      <c r="B8" s="364"/>
      <c r="C8" s="366"/>
      <c r="D8" s="110"/>
      <c r="E8" s="110"/>
      <c r="F8" s="110"/>
      <c r="G8" s="111"/>
      <c r="H8" s="112"/>
      <c r="I8" s="113"/>
      <c r="J8" s="110"/>
      <c r="K8" s="110"/>
      <c r="L8" s="110"/>
      <c r="M8" s="110"/>
      <c r="N8" s="110"/>
      <c r="O8" s="114"/>
      <c r="P8" s="115">
        <f t="shared" si="0"/>
        <v>0</v>
      </c>
      <c r="Q8" s="368"/>
      <c r="R8" s="370"/>
    </row>
    <row r="9" spans="1:19" ht="31.5" x14ac:dyDescent="0.25">
      <c r="A9" s="304" t="s">
        <v>58</v>
      </c>
      <c r="B9" s="107">
        <v>730000</v>
      </c>
      <c r="C9" s="120">
        <f>B9/12</f>
        <v>60833.333333333336</v>
      </c>
      <c r="D9" s="121">
        <f>40000+20000+20000+3000</f>
        <v>83000</v>
      </c>
      <c r="E9" s="121">
        <f>20000+20000</f>
        <v>40000</v>
      </c>
      <c r="F9" s="121">
        <f>40000+20000+2000+20000+3000+16300</f>
        <v>101300</v>
      </c>
      <c r="G9" s="122"/>
      <c r="H9" s="123"/>
      <c r="I9" s="123"/>
      <c r="J9" s="121"/>
      <c r="K9" s="123"/>
      <c r="L9" s="123"/>
      <c r="M9" s="123"/>
      <c r="N9" s="123"/>
      <c r="O9" s="124"/>
      <c r="P9" s="115">
        <f t="shared" si="0"/>
        <v>224300</v>
      </c>
      <c r="Q9" s="125">
        <f>C9*Q2</f>
        <v>182500</v>
      </c>
      <c r="R9" s="117">
        <f>P9-Q9</f>
        <v>41800</v>
      </c>
    </row>
    <row r="10" spans="1:19" s="307" customFormat="1" ht="15.75" x14ac:dyDescent="0.25">
      <c r="A10" s="309" t="s">
        <v>127</v>
      </c>
      <c r="B10" s="306"/>
      <c r="C10" s="306"/>
      <c r="D10" s="313">
        <f>4050+2380+10317.62</f>
        <v>16747.620000000003</v>
      </c>
      <c r="E10" s="313">
        <f>2380</f>
        <v>2380</v>
      </c>
      <c r="F10" s="313">
        <f>4050+2380+12662.32</f>
        <v>19092.32</v>
      </c>
      <c r="G10" s="310"/>
      <c r="H10" s="310"/>
      <c r="I10" s="310"/>
      <c r="J10" s="310"/>
      <c r="K10" s="310"/>
      <c r="L10" s="310"/>
      <c r="M10" s="310"/>
      <c r="N10" s="310"/>
      <c r="O10" s="310"/>
      <c r="P10" s="311">
        <f t="shared" si="0"/>
        <v>38219.94</v>
      </c>
      <c r="Q10" s="310"/>
    </row>
    <row r="11" spans="1:19" s="307" customFormat="1" ht="16.5" thickBot="1" x14ac:dyDescent="0.3">
      <c r="A11" s="312" t="s">
        <v>236</v>
      </c>
      <c r="B11" s="308"/>
      <c r="C11" s="308"/>
      <c r="D11" s="313"/>
      <c r="E11" s="313">
        <v>2415</v>
      </c>
      <c r="F11" s="313">
        <f>9586</f>
        <v>9586</v>
      </c>
      <c r="G11" s="310"/>
      <c r="H11" s="310"/>
      <c r="I11" s="310"/>
      <c r="J11" s="310"/>
      <c r="K11" s="310"/>
      <c r="L11" s="310"/>
      <c r="M11" s="310"/>
      <c r="N11" s="310"/>
      <c r="O11" s="310"/>
      <c r="P11" s="311">
        <f t="shared" si="0"/>
        <v>12001</v>
      </c>
      <c r="Q11" s="310"/>
    </row>
    <row r="12" spans="1:19" ht="15.75" x14ac:dyDescent="0.25">
      <c r="A12" s="134" t="s">
        <v>59</v>
      </c>
      <c r="B12" s="119">
        <f t="shared" ref="B12:O12" si="1">SUM(B6:B11)</f>
        <v>42408000</v>
      </c>
      <c r="C12" s="153">
        <f t="shared" si="1"/>
        <v>3534000.0000000005</v>
      </c>
      <c r="D12" s="129">
        <f t="shared" si="1"/>
        <v>3313680.62</v>
      </c>
      <c r="E12" s="129">
        <f t="shared" si="1"/>
        <v>3569190.46</v>
      </c>
      <c r="F12" s="297">
        <f t="shared" si="1"/>
        <v>3773439.7199999997</v>
      </c>
      <c r="G12" s="129">
        <f t="shared" si="1"/>
        <v>0</v>
      </c>
      <c r="H12" s="129">
        <f t="shared" si="1"/>
        <v>0</v>
      </c>
      <c r="I12" s="129">
        <f t="shared" si="1"/>
        <v>0</v>
      </c>
      <c r="J12" s="129">
        <f t="shared" si="1"/>
        <v>0</v>
      </c>
      <c r="K12" s="129">
        <f t="shared" si="1"/>
        <v>0</v>
      </c>
      <c r="L12" s="129">
        <f t="shared" si="1"/>
        <v>0</v>
      </c>
      <c r="M12" s="129">
        <f t="shared" si="1"/>
        <v>0</v>
      </c>
      <c r="N12" s="129">
        <f t="shared" si="1"/>
        <v>0</v>
      </c>
      <c r="O12" s="129">
        <f t="shared" si="1"/>
        <v>0</v>
      </c>
      <c r="P12" s="130">
        <f t="shared" si="0"/>
        <v>10656310.800000001</v>
      </c>
      <c r="Q12" s="131">
        <f>SUM(Q6:Q11)</f>
        <v>10602000</v>
      </c>
      <c r="R12" s="132">
        <f>P12-Q12</f>
        <v>54310.800000000745</v>
      </c>
      <c r="S12" s="133"/>
    </row>
    <row r="13" spans="1:19" ht="15.75" x14ac:dyDescent="0.25">
      <c r="A13" s="134" t="s">
        <v>60</v>
      </c>
      <c r="B13" s="107">
        <f>B12+B5</f>
        <v>45048313.409999996</v>
      </c>
      <c r="C13" s="135"/>
      <c r="D13" s="135">
        <f>D12+D57-D58</f>
        <v>3261480.62</v>
      </c>
      <c r="E13" s="135">
        <f>E12+E57-E58</f>
        <v>3615290.46</v>
      </c>
      <c r="F13" s="135">
        <f>F12+F57-F58</f>
        <v>3713639.7199999997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3"/>
    </row>
    <row r="14" spans="1:19" ht="33" customHeight="1" x14ac:dyDescent="0.3">
      <c r="A14" s="136" t="s">
        <v>26</v>
      </c>
      <c r="B14" s="137"/>
      <c r="C14" s="138"/>
      <c r="D14" s="138"/>
      <c r="E14" s="138"/>
      <c r="F14" s="138"/>
      <c r="G14" s="139"/>
      <c r="H14" s="140"/>
      <c r="I14" s="140"/>
      <c r="J14" s="139"/>
      <c r="K14" s="139"/>
      <c r="L14" s="139"/>
      <c r="M14" s="139"/>
      <c r="N14" s="139"/>
      <c r="O14" s="139"/>
      <c r="P14" s="138"/>
      <c r="Q14" s="141"/>
      <c r="R14" s="142" t="s">
        <v>27</v>
      </c>
    </row>
    <row r="15" spans="1:19" ht="15.75" x14ac:dyDescent="0.25">
      <c r="A15" s="143" t="s">
        <v>28</v>
      </c>
      <c r="B15" s="107">
        <v>800000</v>
      </c>
      <c r="C15" s="109">
        <f t="shared" ref="C15:C35" si="2">B15/12</f>
        <v>66666.666666666672</v>
      </c>
      <c r="D15" s="144">
        <f>'общехоз расходы'!B38</f>
        <v>98698.709999999992</v>
      </c>
      <c r="E15" s="144">
        <f>'общехоз расходы'!C38</f>
        <v>126155.17</v>
      </c>
      <c r="F15" s="144">
        <f>'общехоз расходы'!D38</f>
        <v>76652.959999999992</v>
      </c>
      <c r="G15" s="144">
        <f>'общехоз расходы'!E38</f>
        <v>0</v>
      </c>
      <c r="H15" s="144">
        <f>'общехоз расходы'!F38</f>
        <v>0</v>
      </c>
      <c r="I15" s="144">
        <f>'общехоз расходы'!G38</f>
        <v>0</v>
      </c>
      <c r="J15" s="144">
        <f>'общехоз расходы'!H38</f>
        <v>0</v>
      </c>
      <c r="K15" s="144">
        <f>'общехоз расходы'!I38</f>
        <v>0</v>
      </c>
      <c r="L15" s="144">
        <f>'общехоз расходы'!J38</f>
        <v>0</v>
      </c>
      <c r="M15" s="144">
        <f>'общехоз расходы'!K38</f>
        <v>0</v>
      </c>
      <c r="N15" s="144">
        <f>'общехоз расходы'!L38</f>
        <v>0</v>
      </c>
      <c r="O15" s="144">
        <f>'общехоз расходы'!M38</f>
        <v>0</v>
      </c>
      <c r="P15" s="145">
        <f t="shared" ref="P15:P35" si="3">SUM(D15:O15)</f>
        <v>301506.83999999997</v>
      </c>
      <c r="Q15" s="116">
        <f t="shared" ref="Q15:Q30" si="4">C15*$Q$2</f>
        <v>200000</v>
      </c>
      <c r="R15" s="146">
        <f t="shared" ref="R15:R35" si="5">Q15-P15</f>
        <v>-101506.83999999997</v>
      </c>
    </row>
    <row r="16" spans="1:19" ht="15.75" x14ac:dyDescent="0.25">
      <c r="A16" s="102" t="s">
        <v>29</v>
      </c>
      <c r="B16" s="119">
        <v>35000</v>
      </c>
      <c r="C16" s="109">
        <f t="shared" si="2"/>
        <v>2916.6666666666665</v>
      </c>
      <c r="D16" s="147">
        <f>'программ обеспечение'!B10</f>
        <v>0</v>
      </c>
      <c r="E16" s="147">
        <f>'программ обеспечение'!C10</f>
        <v>0</v>
      </c>
      <c r="F16" s="147">
        <f>'программ обеспечение'!D10</f>
        <v>13116</v>
      </c>
      <c r="G16" s="147">
        <f>'программ обеспечение'!E10</f>
        <v>0</v>
      </c>
      <c r="H16" s="147">
        <f>'программ обеспечение'!F10</f>
        <v>0</v>
      </c>
      <c r="I16" s="147">
        <f>'программ обеспечение'!G10</f>
        <v>0</v>
      </c>
      <c r="J16" s="144">
        <f>'программ обеспечение'!H10</f>
        <v>0</v>
      </c>
      <c r="K16" s="144">
        <f>'программ обеспечение'!I10</f>
        <v>0</v>
      </c>
      <c r="L16" s="144">
        <f>'программ обеспечение'!J10</f>
        <v>0</v>
      </c>
      <c r="M16" s="144">
        <f>'программ обеспечение'!K10</f>
        <v>0</v>
      </c>
      <c r="N16" s="144">
        <f>'программ обеспечение'!L10</f>
        <v>0</v>
      </c>
      <c r="O16" s="144">
        <f>'программ обеспечение'!M10</f>
        <v>0</v>
      </c>
      <c r="P16" s="115">
        <f t="shared" si="3"/>
        <v>13116</v>
      </c>
      <c r="Q16" s="116">
        <f t="shared" si="4"/>
        <v>8750</v>
      </c>
      <c r="R16" s="146">
        <f t="shared" si="5"/>
        <v>-4366</v>
      </c>
    </row>
    <row r="17" spans="1:22" ht="15.75" x14ac:dyDescent="0.25">
      <c r="A17" s="143" t="s">
        <v>30</v>
      </c>
      <c r="B17" s="107">
        <v>140000</v>
      </c>
      <c r="C17" s="109">
        <f t="shared" si="2"/>
        <v>11666.666666666666</v>
      </c>
      <c r="D17" s="144">
        <f>'услуги связи'!B8</f>
        <v>6700</v>
      </c>
      <c r="E17" s="144">
        <f>'услуги связи'!C8</f>
        <v>6700</v>
      </c>
      <c r="F17" s="144">
        <f>'услуги связи'!D8</f>
        <v>18679.05</v>
      </c>
      <c r="G17" s="144">
        <f>'услуги связи'!E8</f>
        <v>0</v>
      </c>
      <c r="H17" s="144">
        <f>'услуги связи'!F8</f>
        <v>0</v>
      </c>
      <c r="I17" s="144">
        <f>'услуги связи'!G8</f>
        <v>0</v>
      </c>
      <c r="J17" s="144">
        <f>'услуги связи'!H8</f>
        <v>0</v>
      </c>
      <c r="K17" s="144">
        <f>'услуги связи'!I8</f>
        <v>0</v>
      </c>
      <c r="L17" s="144">
        <f>'услуги связи'!J8</f>
        <v>0</v>
      </c>
      <c r="M17" s="144">
        <f>'услуги связи'!K8</f>
        <v>0</v>
      </c>
      <c r="N17" s="144">
        <f>'услуги связи'!L8</f>
        <v>0</v>
      </c>
      <c r="O17" s="144">
        <f>'услуги связи'!M8</f>
        <v>0</v>
      </c>
      <c r="P17" s="115">
        <f t="shared" si="3"/>
        <v>32079.05</v>
      </c>
      <c r="Q17" s="116">
        <f t="shared" si="4"/>
        <v>35000</v>
      </c>
      <c r="R17" s="146">
        <f t="shared" si="5"/>
        <v>2920.9500000000007</v>
      </c>
    </row>
    <row r="18" spans="1:22" ht="15.75" x14ac:dyDescent="0.25">
      <c r="A18" s="102" t="s">
        <v>61</v>
      </c>
      <c r="B18" s="119">
        <v>8560000</v>
      </c>
      <c r="C18" s="109">
        <f t="shared" si="2"/>
        <v>713333.33333333337</v>
      </c>
      <c r="D18" s="147">
        <f>'з пл'!B6</f>
        <v>657200.37999999989</v>
      </c>
      <c r="E18" s="147">
        <f>'з пл'!C6</f>
        <v>730270.34</v>
      </c>
      <c r="F18" s="147">
        <f>'з пл'!D6</f>
        <v>689056.02</v>
      </c>
      <c r="G18" s="147">
        <f>'з пл'!E6</f>
        <v>0</v>
      </c>
      <c r="H18" s="148">
        <f>'з пл'!F6</f>
        <v>0</v>
      </c>
      <c r="I18" s="147">
        <f>'з пл'!G6</f>
        <v>0</v>
      </c>
      <c r="J18" s="144">
        <f>'з пл'!H6</f>
        <v>0</v>
      </c>
      <c r="K18" s="144">
        <f>'з пл'!I6</f>
        <v>0</v>
      </c>
      <c r="L18" s="144">
        <f>'з пл'!J6</f>
        <v>0</v>
      </c>
      <c r="M18" s="144">
        <f>'з пл'!K6</f>
        <v>0</v>
      </c>
      <c r="N18" s="144">
        <f>'з пл'!L6</f>
        <v>0</v>
      </c>
      <c r="O18" s="144">
        <f>'з пл'!M6</f>
        <v>0</v>
      </c>
      <c r="P18" s="115">
        <f t="shared" si="3"/>
        <v>2076526.7399999998</v>
      </c>
      <c r="Q18" s="116">
        <f t="shared" si="4"/>
        <v>2140000</v>
      </c>
      <c r="R18" s="146">
        <f t="shared" si="5"/>
        <v>63473.260000000242</v>
      </c>
    </row>
    <row r="19" spans="1:22" ht="15.75" x14ac:dyDescent="0.25">
      <c r="A19" s="102" t="s">
        <v>33</v>
      </c>
      <c r="B19" s="119">
        <v>400000</v>
      </c>
      <c r="C19" s="109" t="s">
        <v>66</v>
      </c>
      <c r="D19" s="147">
        <f>'премиальный фонд'!B5</f>
        <v>0</v>
      </c>
      <c r="E19" s="147">
        <f>'премиальный фонд'!C5</f>
        <v>0</v>
      </c>
      <c r="F19" s="147">
        <f>'премиальный фонд'!D5</f>
        <v>0</v>
      </c>
      <c r="G19" s="147">
        <f>'премиальный фонд'!E5</f>
        <v>0</v>
      </c>
      <c r="H19" s="148">
        <f>'премиальный фонд'!F5</f>
        <v>0</v>
      </c>
      <c r="I19" s="147">
        <f>'премиальный фонд'!G5</f>
        <v>0</v>
      </c>
      <c r="J19" s="147">
        <f>'премиальный фонд'!H5</f>
        <v>0</v>
      </c>
      <c r="K19" s="147">
        <f>'премиальный фонд'!I5</f>
        <v>0</v>
      </c>
      <c r="L19" s="147">
        <f>'премиальный фонд'!J5</f>
        <v>0</v>
      </c>
      <c r="M19" s="147">
        <f>'премиальный фонд'!K5</f>
        <v>0</v>
      </c>
      <c r="N19" s="144">
        <f>'премиальный фонд'!L5</f>
        <v>0</v>
      </c>
      <c r="O19" s="144">
        <f>'премиальный фонд'!M5</f>
        <v>0</v>
      </c>
      <c r="P19" s="115">
        <f t="shared" si="3"/>
        <v>0</v>
      </c>
      <c r="Q19" s="149">
        <f>B19</f>
        <v>400000</v>
      </c>
      <c r="R19" s="146">
        <f t="shared" si="5"/>
        <v>400000</v>
      </c>
    </row>
    <row r="20" spans="1:22" ht="15.75" x14ac:dyDescent="0.25">
      <c r="A20" s="102" t="s">
        <v>34</v>
      </c>
      <c r="B20" s="119">
        <v>2700000</v>
      </c>
      <c r="C20" s="109">
        <f t="shared" si="2"/>
        <v>225000</v>
      </c>
      <c r="D20" s="147">
        <f>'налог с ФОТ'!B6</f>
        <v>310824.7</v>
      </c>
      <c r="E20" s="147">
        <f>'налог с ФОТ'!C6</f>
        <v>178176.03</v>
      </c>
      <c r="F20" s="147">
        <f>'налог с ФОТ'!D6</f>
        <v>179924.91</v>
      </c>
      <c r="G20" s="147">
        <f>'налог с ФОТ'!E6</f>
        <v>0</v>
      </c>
      <c r="H20" s="148">
        <f>'налог с ФОТ'!F6</f>
        <v>0</v>
      </c>
      <c r="I20" s="148">
        <f>'налог с ФОТ'!G6</f>
        <v>0</v>
      </c>
      <c r="J20" s="147">
        <f>'налог с ФОТ'!H6</f>
        <v>0</v>
      </c>
      <c r="K20" s="147">
        <f>'налог с ФОТ'!I6</f>
        <v>0</v>
      </c>
      <c r="L20" s="147">
        <f>'налог с ФОТ'!J6</f>
        <v>0</v>
      </c>
      <c r="M20" s="147">
        <f>'налог с ФОТ'!K6</f>
        <v>0</v>
      </c>
      <c r="N20" s="144">
        <f>'налог с ФОТ'!L6</f>
        <v>0</v>
      </c>
      <c r="O20" s="144">
        <f>'налог с ФОТ'!M6</f>
        <v>0</v>
      </c>
      <c r="P20" s="115">
        <f t="shared" si="3"/>
        <v>668925.64</v>
      </c>
      <c r="Q20" s="116">
        <f t="shared" si="4"/>
        <v>675000</v>
      </c>
      <c r="R20" s="146">
        <f t="shared" si="5"/>
        <v>6074.359999999986</v>
      </c>
    </row>
    <row r="21" spans="1:22" ht="15.75" x14ac:dyDescent="0.25">
      <c r="A21" s="102" t="s">
        <v>35</v>
      </c>
      <c r="B21" s="119">
        <v>150000</v>
      </c>
      <c r="C21" s="109">
        <f t="shared" si="2"/>
        <v>12500</v>
      </c>
      <c r="D21" s="147">
        <f>инвентарь!B27</f>
        <v>8650</v>
      </c>
      <c r="E21" s="147">
        <f>инвентарь!C27</f>
        <v>14935</v>
      </c>
      <c r="F21" s="147">
        <f>инвентарь!D27</f>
        <v>22370</v>
      </c>
      <c r="G21" s="147">
        <f>инвентарь!E27</f>
        <v>0</v>
      </c>
      <c r="H21" s="147">
        <f>инвентарь!F27</f>
        <v>0</v>
      </c>
      <c r="I21" s="147">
        <f>инвентарь!G27</f>
        <v>0</v>
      </c>
      <c r="J21" s="147">
        <f>инвентарь!H27</f>
        <v>0</v>
      </c>
      <c r="K21" s="147">
        <f>инвентарь!I27</f>
        <v>0</v>
      </c>
      <c r="L21" s="147">
        <f>инвентарь!J27</f>
        <v>0</v>
      </c>
      <c r="M21" s="147">
        <f>инвентарь!K27</f>
        <v>0</v>
      </c>
      <c r="N21" s="147">
        <f>инвентарь!L27</f>
        <v>0</v>
      </c>
      <c r="O21" s="147">
        <f>инвентарь!M27</f>
        <v>0</v>
      </c>
      <c r="P21" s="115">
        <f t="shared" si="3"/>
        <v>45955</v>
      </c>
      <c r="Q21" s="116">
        <f t="shared" si="4"/>
        <v>37500</v>
      </c>
      <c r="R21" s="146">
        <f t="shared" si="5"/>
        <v>-8455</v>
      </c>
    </row>
    <row r="22" spans="1:22" ht="15.75" x14ac:dyDescent="0.25">
      <c r="A22" s="143" t="s">
        <v>36</v>
      </c>
      <c r="B22" s="107">
        <v>5900000</v>
      </c>
      <c r="C22" s="109">
        <f t="shared" si="2"/>
        <v>491666.66666666669</v>
      </c>
      <c r="D22" s="144">
        <f>мусор!B10</f>
        <v>454017.63</v>
      </c>
      <c r="E22" s="144">
        <f>мусор!C10</f>
        <v>501017.63</v>
      </c>
      <c r="F22" s="144">
        <f>мусор!D10</f>
        <v>421017.63</v>
      </c>
      <c r="G22" s="144">
        <f>мусор!E10</f>
        <v>0</v>
      </c>
      <c r="H22" s="144">
        <f>мусор!F10</f>
        <v>0</v>
      </c>
      <c r="I22" s="144">
        <f>мусор!G10</f>
        <v>0</v>
      </c>
      <c r="J22" s="144">
        <f>мусор!H10</f>
        <v>0</v>
      </c>
      <c r="K22" s="144">
        <f>мусор!I10</f>
        <v>0</v>
      </c>
      <c r="L22" s="144">
        <f>мусор!J10</f>
        <v>0</v>
      </c>
      <c r="M22" s="144">
        <f>мусор!K10</f>
        <v>0</v>
      </c>
      <c r="N22" s="144">
        <f>мусор!L10</f>
        <v>0</v>
      </c>
      <c r="O22" s="144">
        <f>мусор!M10</f>
        <v>0</v>
      </c>
      <c r="P22" s="115">
        <f t="shared" si="3"/>
        <v>1376052.8900000001</v>
      </c>
      <c r="Q22" s="116">
        <f t="shared" si="4"/>
        <v>1475000</v>
      </c>
      <c r="R22" s="146">
        <f t="shared" si="5"/>
        <v>98947.10999999987</v>
      </c>
    </row>
    <row r="23" spans="1:22" ht="15.75" x14ac:dyDescent="0.25">
      <c r="A23" s="143" t="s">
        <v>37</v>
      </c>
      <c r="B23" s="107">
        <v>7800000</v>
      </c>
      <c r="C23" s="109">
        <f t="shared" si="2"/>
        <v>650000</v>
      </c>
      <c r="D23" s="144">
        <v>600000</v>
      </c>
      <c r="E23" s="144">
        <v>650400</v>
      </c>
      <c r="F23" s="144">
        <v>650400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15">
        <f t="shared" si="3"/>
        <v>1900800</v>
      </c>
      <c r="Q23" s="116">
        <f t="shared" si="4"/>
        <v>1950000</v>
      </c>
      <c r="R23" s="146">
        <f t="shared" si="5"/>
        <v>49200</v>
      </c>
    </row>
    <row r="24" spans="1:22" ht="15.75" x14ac:dyDescent="0.25">
      <c r="A24" s="102" t="s">
        <v>38</v>
      </c>
      <c r="B24" s="119">
        <v>130000</v>
      </c>
      <c r="C24" s="109">
        <f t="shared" si="2"/>
        <v>10833.333333333334</v>
      </c>
      <c r="D24" s="147">
        <f>газ!B6</f>
        <v>0</v>
      </c>
      <c r="E24" s="147">
        <f>газ!C6</f>
        <v>0</v>
      </c>
      <c r="F24" s="147">
        <f>газ!D6</f>
        <v>0</v>
      </c>
      <c r="G24" s="147">
        <f>газ!E6</f>
        <v>0</v>
      </c>
      <c r="H24" s="147">
        <f>газ!F6</f>
        <v>0</v>
      </c>
      <c r="I24" s="147">
        <f>газ!G6</f>
        <v>0</v>
      </c>
      <c r="J24" s="147">
        <f>газ!H6</f>
        <v>0</v>
      </c>
      <c r="K24" s="147">
        <f>газ!I6</f>
        <v>0</v>
      </c>
      <c r="L24" s="147">
        <f>газ!J6</f>
        <v>0</v>
      </c>
      <c r="M24" s="147">
        <f>газ!K6</f>
        <v>0</v>
      </c>
      <c r="N24" s="147">
        <f>газ!L6</f>
        <v>0</v>
      </c>
      <c r="O24" s="147">
        <f>газ!M6</f>
        <v>0</v>
      </c>
      <c r="P24" s="115">
        <f t="shared" si="3"/>
        <v>0</v>
      </c>
      <c r="Q24" s="116">
        <f t="shared" si="4"/>
        <v>32500</v>
      </c>
      <c r="R24" s="146">
        <f t="shared" si="5"/>
        <v>32500</v>
      </c>
    </row>
    <row r="25" spans="1:22" ht="15.75" x14ac:dyDescent="0.25">
      <c r="A25" s="143" t="s">
        <v>39</v>
      </c>
      <c r="B25" s="107">
        <v>200000</v>
      </c>
      <c r="C25" s="109">
        <f t="shared" si="2"/>
        <v>16666.666666666668</v>
      </c>
      <c r="D25" s="144">
        <f>вода!B30</f>
        <v>0</v>
      </c>
      <c r="E25" s="144">
        <f>вода!C30</f>
        <v>74532</v>
      </c>
      <c r="F25" s="144">
        <f>вода!D30</f>
        <v>12485</v>
      </c>
      <c r="G25" s="144">
        <f>вода!E30</f>
        <v>0</v>
      </c>
      <c r="H25" s="144">
        <f>вода!F30</f>
        <v>0</v>
      </c>
      <c r="I25" s="144">
        <f>вода!G30</f>
        <v>0</v>
      </c>
      <c r="J25" s="144">
        <f>вода!H30</f>
        <v>0</v>
      </c>
      <c r="K25" s="144">
        <f>вода!I30</f>
        <v>0</v>
      </c>
      <c r="L25" s="144">
        <f>вода!J30</f>
        <v>0</v>
      </c>
      <c r="M25" s="144">
        <f>вода!K30</f>
        <v>0</v>
      </c>
      <c r="N25" s="144">
        <f>вода!L30</f>
        <v>0</v>
      </c>
      <c r="O25" s="144">
        <f>вода!M30</f>
        <v>0</v>
      </c>
      <c r="P25" s="115">
        <f t="shared" si="3"/>
        <v>87017</v>
      </c>
      <c r="Q25" s="116">
        <f t="shared" si="4"/>
        <v>50000</v>
      </c>
      <c r="R25" s="146">
        <f t="shared" si="5"/>
        <v>-37017</v>
      </c>
    </row>
    <row r="26" spans="1:22" ht="15.75" x14ac:dyDescent="0.25">
      <c r="A26" s="143" t="s">
        <v>62</v>
      </c>
      <c r="B26" s="107">
        <v>450000</v>
      </c>
      <c r="C26" s="109">
        <f t="shared" si="2"/>
        <v>37500</v>
      </c>
      <c r="D26" s="144">
        <f>канализация!B38</f>
        <v>1956</v>
      </c>
      <c r="E26" s="144">
        <f>канализация!C38</f>
        <v>44800</v>
      </c>
      <c r="F26" s="144">
        <f>канализация!D38</f>
        <v>37600</v>
      </c>
      <c r="G26" s="144">
        <f>канализация!E38</f>
        <v>0</v>
      </c>
      <c r="H26" s="144">
        <f>канализация!F38</f>
        <v>0</v>
      </c>
      <c r="I26" s="144">
        <f>канализация!G38</f>
        <v>0</v>
      </c>
      <c r="J26" s="144">
        <f>канализация!H38</f>
        <v>0</v>
      </c>
      <c r="K26" s="144">
        <f>канализация!I38</f>
        <v>0</v>
      </c>
      <c r="L26" s="144">
        <f>канализация!J38</f>
        <v>0</v>
      </c>
      <c r="M26" s="144">
        <f>канализация!K38</f>
        <v>0</v>
      </c>
      <c r="N26" s="144">
        <f>канализация!L38</f>
        <v>0</v>
      </c>
      <c r="O26" s="144">
        <f>канализация!M38</f>
        <v>0</v>
      </c>
      <c r="P26" s="115">
        <f t="shared" si="3"/>
        <v>84356</v>
      </c>
      <c r="Q26" s="116">
        <f t="shared" si="4"/>
        <v>112500</v>
      </c>
      <c r="R26" s="146">
        <f t="shared" si="5"/>
        <v>28144</v>
      </c>
    </row>
    <row r="27" spans="1:22" ht="15.75" x14ac:dyDescent="0.25">
      <c r="A27" s="143" t="s">
        <v>63</v>
      </c>
      <c r="B27" s="107">
        <v>1900000</v>
      </c>
      <c r="C27" s="109">
        <f t="shared" si="2"/>
        <v>158333.33333333334</v>
      </c>
      <c r="D27" s="144">
        <f>электроснабжение!B48</f>
        <v>224752.22</v>
      </c>
      <c r="E27" s="144">
        <f>электроснабжение!C48</f>
        <v>152716.35</v>
      </c>
      <c r="F27" s="144">
        <f>электроснабжение!D48</f>
        <v>126170.64</v>
      </c>
      <c r="G27" s="144">
        <f>электроснабжение!E48</f>
        <v>0</v>
      </c>
      <c r="H27" s="144">
        <f>электроснабжение!F48</f>
        <v>0</v>
      </c>
      <c r="I27" s="144">
        <f>электроснабжение!G48</f>
        <v>0</v>
      </c>
      <c r="J27" s="144">
        <f>электроснабжение!H48</f>
        <v>0</v>
      </c>
      <c r="K27" s="144">
        <f>электроснабжение!I48</f>
        <v>0</v>
      </c>
      <c r="L27" s="144">
        <f>электроснабжение!J48</f>
        <v>0</v>
      </c>
      <c r="M27" s="144">
        <f>электроснабжение!K48</f>
        <v>0</v>
      </c>
      <c r="N27" s="144">
        <f>электроснабжение!L48</f>
        <v>0</v>
      </c>
      <c r="O27" s="144">
        <f>электроснабжение!M48</f>
        <v>0</v>
      </c>
      <c r="P27" s="115">
        <f t="shared" si="3"/>
        <v>503639.21</v>
      </c>
      <c r="Q27" s="116">
        <f t="shared" si="4"/>
        <v>475000</v>
      </c>
      <c r="R27" s="146">
        <f t="shared" si="5"/>
        <v>-28639.210000000021</v>
      </c>
      <c r="V27" t="s">
        <v>64</v>
      </c>
    </row>
    <row r="28" spans="1:22" ht="15.75" x14ac:dyDescent="0.25">
      <c r="A28" s="143" t="s">
        <v>44</v>
      </c>
      <c r="B28" s="107">
        <v>400000</v>
      </c>
      <c r="C28" s="109">
        <f t="shared" si="2"/>
        <v>33333.333333333336</v>
      </c>
      <c r="D28" s="144">
        <f>'сод дор и терр'!B38</f>
        <v>13132</v>
      </c>
      <c r="E28" s="144">
        <f>'сод дор и терр'!C38</f>
        <v>38440</v>
      </c>
      <c r="F28" s="144">
        <f>'сод дор и терр'!D38</f>
        <v>19104</v>
      </c>
      <c r="G28" s="144">
        <f>'сод дор и терр'!E38</f>
        <v>0</v>
      </c>
      <c r="H28" s="144">
        <f>'сод дор и терр'!F38</f>
        <v>0</v>
      </c>
      <c r="I28" s="144">
        <f>'сод дор и терр'!G38</f>
        <v>0</v>
      </c>
      <c r="J28" s="144">
        <f>'сод дор и терр'!H38</f>
        <v>0</v>
      </c>
      <c r="K28" s="144">
        <f>'сод дор и терр'!I38</f>
        <v>0</v>
      </c>
      <c r="L28" s="144">
        <f>'сод дор и терр'!J38</f>
        <v>0</v>
      </c>
      <c r="M28" s="144">
        <f>'сод дор и терр'!K38</f>
        <v>0</v>
      </c>
      <c r="N28" s="144">
        <f>'сод дор и терр'!L38</f>
        <v>0</v>
      </c>
      <c r="O28" s="144">
        <f>'сод дор и терр'!M38</f>
        <v>0</v>
      </c>
      <c r="P28" s="115">
        <f t="shared" si="3"/>
        <v>70676</v>
      </c>
      <c r="Q28" s="116">
        <f t="shared" si="4"/>
        <v>100000</v>
      </c>
      <c r="R28" s="146">
        <f t="shared" si="5"/>
        <v>29324</v>
      </c>
    </row>
    <row r="29" spans="1:22" ht="15.75" x14ac:dyDescent="0.25">
      <c r="A29" s="143" t="s">
        <v>65</v>
      </c>
      <c r="B29" s="107">
        <v>800000</v>
      </c>
      <c r="C29" s="109" t="s">
        <v>66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15">
        <f t="shared" si="3"/>
        <v>0</v>
      </c>
      <c r="Q29" s="149">
        <f>B29</f>
        <v>800000</v>
      </c>
      <c r="R29" s="146">
        <f t="shared" si="5"/>
        <v>800000</v>
      </c>
    </row>
    <row r="30" spans="1:22" ht="15.75" x14ac:dyDescent="0.25">
      <c r="A30" s="143" t="s">
        <v>45</v>
      </c>
      <c r="B30" s="107">
        <v>250000</v>
      </c>
      <c r="C30" s="109">
        <f t="shared" si="2"/>
        <v>20833.333333333332</v>
      </c>
      <c r="D30" s="144">
        <f>благоустройство!B34</f>
        <v>77294</v>
      </c>
      <c r="E30" s="144">
        <f>благоустройство!C34</f>
        <v>44149.599999999999</v>
      </c>
      <c r="F30" s="144">
        <f>благоустройство!D34</f>
        <v>26493.96</v>
      </c>
      <c r="G30" s="144">
        <f>благоустройство!E34</f>
        <v>0</v>
      </c>
      <c r="H30" s="144">
        <f>благоустройство!F34</f>
        <v>0</v>
      </c>
      <c r="I30" s="144">
        <f>благоустройство!G34</f>
        <v>0</v>
      </c>
      <c r="J30" s="144">
        <f>благоустройство!H34</f>
        <v>0</v>
      </c>
      <c r="K30" s="144">
        <f>благоустройство!I34</f>
        <v>0</v>
      </c>
      <c r="L30" s="144">
        <f>благоустройство!J34</f>
        <v>0</v>
      </c>
      <c r="M30" s="144">
        <f>благоустройство!K34</f>
        <v>0</v>
      </c>
      <c r="N30" s="144">
        <f>благоустройство!L34</f>
        <v>0</v>
      </c>
      <c r="O30" s="144">
        <f>благоустройство!M34</f>
        <v>0</v>
      </c>
      <c r="P30" s="115">
        <f t="shared" si="3"/>
        <v>147937.56</v>
      </c>
      <c r="Q30" s="116">
        <f t="shared" si="4"/>
        <v>62500</v>
      </c>
      <c r="R30" s="146">
        <f t="shared" si="5"/>
        <v>-85437.56</v>
      </c>
    </row>
    <row r="31" spans="1:22" ht="15.75" x14ac:dyDescent="0.25">
      <c r="A31" s="143" t="s">
        <v>67</v>
      </c>
      <c r="B31" s="107">
        <v>770000</v>
      </c>
      <c r="C31" s="109" t="s">
        <v>66</v>
      </c>
      <c r="D31" s="144">
        <f>669900+100100</f>
        <v>770000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15">
        <f t="shared" si="3"/>
        <v>770000</v>
      </c>
      <c r="Q31" s="149">
        <f>B31</f>
        <v>770000</v>
      </c>
      <c r="R31" s="146">
        <f t="shared" si="5"/>
        <v>0</v>
      </c>
    </row>
    <row r="32" spans="1:22" ht="15.75" x14ac:dyDescent="0.25">
      <c r="A32" s="150" t="s">
        <v>68</v>
      </c>
      <c r="B32" s="118">
        <v>230000</v>
      </c>
      <c r="C32" s="151" t="s">
        <v>66</v>
      </c>
      <c r="D32" s="152">
        <v>231000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15">
        <f t="shared" si="3"/>
        <v>231000</v>
      </c>
      <c r="Q32" s="149">
        <f>B32</f>
        <v>230000</v>
      </c>
      <c r="R32" s="146">
        <f t="shared" si="5"/>
        <v>-1000</v>
      </c>
    </row>
    <row r="33" spans="1:19" ht="15.75" x14ac:dyDescent="0.25">
      <c r="A33" s="143" t="s">
        <v>146</v>
      </c>
      <c r="B33" s="107">
        <f>110000</f>
        <v>110000</v>
      </c>
      <c r="C33" s="109" t="s">
        <v>66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15">
        <f t="shared" ref="P33" si="6">SUM(D33:O33)</f>
        <v>0</v>
      </c>
      <c r="Q33" s="149">
        <f>B33</f>
        <v>110000</v>
      </c>
      <c r="R33" s="146">
        <f t="shared" ref="R33" si="7">Q33-P33</f>
        <v>110000</v>
      </c>
    </row>
    <row r="34" spans="1:19" ht="15.75" x14ac:dyDescent="0.25">
      <c r="A34" s="150" t="s">
        <v>147</v>
      </c>
      <c r="B34" s="107">
        <v>35000</v>
      </c>
      <c r="C34" s="109" t="s">
        <v>66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15">
        <f t="shared" si="3"/>
        <v>0</v>
      </c>
      <c r="Q34" s="149">
        <f>B34</f>
        <v>35000</v>
      </c>
      <c r="R34" s="146">
        <f t="shared" si="5"/>
        <v>35000</v>
      </c>
    </row>
    <row r="35" spans="1:19" ht="15.75" x14ac:dyDescent="0.25">
      <c r="A35" s="143" t="s">
        <v>47</v>
      </c>
      <c r="B35" s="107">
        <v>1588000</v>
      </c>
      <c r="C35" s="109">
        <f t="shared" si="2"/>
        <v>132333.33333333334</v>
      </c>
      <c r="D35" s="144">
        <f>'резервный фонд'!B66</f>
        <v>0</v>
      </c>
      <c r="E35" s="144">
        <f>'резервный фонд'!C66</f>
        <v>331597.45999999996</v>
      </c>
      <c r="F35" s="144">
        <f>'резервный фонд'!D66</f>
        <v>151220</v>
      </c>
      <c r="G35" s="144">
        <f>'резервный фонд'!E66</f>
        <v>0</v>
      </c>
      <c r="H35" s="144">
        <f>'резервный фонд'!F66</f>
        <v>0</v>
      </c>
      <c r="I35" s="144">
        <f>'резервный фонд'!G66</f>
        <v>0</v>
      </c>
      <c r="J35" s="144">
        <f>'резервный фонд'!H66</f>
        <v>0</v>
      </c>
      <c r="K35" s="144">
        <f>'резервный фонд'!I66</f>
        <v>0</v>
      </c>
      <c r="L35" s="144">
        <f>'резервный фонд'!J66</f>
        <v>0</v>
      </c>
      <c r="M35" s="144">
        <f>'резервный фонд'!K66</f>
        <v>0</v>
      </c>
      <c r="N35" s="144">
        <f>'резервный фонд'!L66</f>
        <v>0</v>
      </c>
      <c r="O35" s="144">
        <f>'резервный фонд'!M66</f>
        <v>0</v>
      </c>
      <c r="P35" s="115">
        <f t="shared" si="3"/>
        <v>482817.45999999996</v>
      </c>
      <c r="Q35" s="115">
        <f>C35*Q2</f>
        <v>397000</v>
      </c>
      <c r="R35" s="146">
        <f t="shared" si="5"/>
        <v>-85817.459999999963</v>
      </c>
      <c r="S35" s="86"/>
    </row>
    <row r="36" spans="1:19" ht="31.5" x14ac:dyDescent="0.25">
      <c r="A36" s="134" t="s">
        <v>69</v>
      </c>
      <c r="B36" s="145">
        <f>SUM(B15:B35)</f>
        <v>33348000</v>
      </c>
      <c r="C36" s="145">
        <f>SUM(C15:C35)</f>
        <v>2583583.333333334</v>
      </c>
      <c r="D36" s="145">
        <f t="shared" ref="D36:R36" si="8">SUM(D15:D35)</f>
        <v>3454225.64</v>
      </c>
      <c r="E36" s="145">
        <f t="shared" si="8"/>
        <v>2893889.58</v>
      </c>
      <c r="F36" s="145">
        <f>SUM(F15:F35)</f>
        <v>2444290.1700000004</v>
      </c>
      <c r="G36" s="145">
        <f t="shared" si="8"/>
        <v>0</v>
      </c>
      <c r="H36" s="145">
        <f t="shared" si="8"/>
        <v>0</v>
      </c>
      <c r="I36" s="145">
        <f t="shared" si="8"/>
        <v>0</v>
      </c>
      <c r="J36" s="145">
        <f t="shared" si="8"/>
        <v>0</v>
      </c>
      <c r="K36" s="145">
        <f t="shared" si="8"/>
        <v>0</v>
      </c>
      <c r="L36" s="145">
        <f t="shared" si="8"/>
        <v>0</v>
      </c>
      <c r="M36" s="145">
        <f t="shared" si="8"/>
        <v>0</v>
      </c>
      <c r="N36" s="145">
        <f t="shared" si="8"/>
        <v>0</v>
      </c>
      <c r="O36" s="145">
        <f t="shared" si="8"/>
        <v>0</v>
      </c>
      <c r="P36" s="145">
        <f t="shared" si="8"/>
        <v>8792405.3900000006</v>
      </c>
      <c r="Q36" s="145">
        <f>SUM(Q15:Q35)</f>
        <v>10095750</v>
      </c>
      <c r="R36" s="145">
        <f t="shared" si="8"/>
        <v>1303344.6100000001</v>
      </c>
      <c r="S36" s="86"/>
    </row>
    <row r="37" spans="1:19" ht="31.5" x14ac:dyDescent="0.25">
      <c r="A37" s="134" t="s">
        <v>70</v>
      </c>
      <c r="B37" s="145">
        <f>SUM(B38:B47)</f>
        <v>10060000</v>
      </c>
      <c r="C37" s="145" t="s">
        <v>66</v>
      </c>
      <c r="D37" s="145">
        <f>SUM(D38:D47)</f>
        <v>0</v>
      </c>
      <c r="E37" s="145">
        <f t="shared" ref="E37:O37" si="9">SUM(E38:E47)</f>
        <v>814575</v>
      </c>
      <c r="F37" s="145">
        <f>SUM(F38:F47)</f>
        <v>1510636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 t="shared" si="9"/>
        <v>0</v>
      </c>
      <c r="L37" s="145">
        <f t="shared" si="9"/>
        <v>0</v>
      </c>
      <c r="M37" s="145">
        <f t="shared" si="9"/>
        <v>0</v>
      </c>
      <c r="N37" s="145">
        <f t="shared" si="9"/>
        <v>0</v>
      </c>
      <c r="O37" s="145">
        <f t="shared" si="9"/>
        <v>0</v>
      </c>
      <c r="P37" s="145">
        <f>SUM(P38:P47)</f>
        <v>2325211</v>
      </c>
      <c r="Q37" s="278">
        <f>B37</f>
        <v>10060000</v>
      </c>
      <c r="R37" s="145">
        <f>SUM(R39:R47)</f>
        <v>5118289</v>
      </c>
      <c r="S37" s="86"/>
    </row>
    <row r="38" spans="1:19" ht="15.75" x14ac:dyDescent="0.25">
      <c r="A38" s="102" t="s">
        <v>71</v>
      </c>
      <c r="B38" s="119">
        <v>4100000</v>
      </c>
      <c r="C38" s="153" t="s">
        <v>66</v>
      </c>
      <c r="D38" s="147"/>
      <c r="E38" s="147"/>
      <c r="F38" s="147">
        <v>1483500</v>
      </c>
      <c r="G38" s="147"/>
      <c r="H38" s="147"/>
      <c r="I38" s="147"/>
      <c r="J38" s="147"/>
      <c r="K38" s="147"/>
      <c r="L38" s="147"/>
      <c r="M38" s="147"/>
      <c r="N38" s="147"/>
      <c r="O38" s="147">
        <v>0</v>
      </c>
      <c r="P38" s="115">
        <f t="shared" ref="P38:P47" si="10">SUM(D38:O38)</f>
        <v>1483500</v>
      </c>
      <c r="Q38" s="149">
        <f>B38</f>
        <v>4100000</v>
      </c>
      <c r="R38" s="154">
        <f t="shared" ref="R38:R47" si="11">B38-P38</f>
        <v>2616500</v>
      </c>
    </row>
    <row r="39" spans="1:19" ht="30" x14ac:dyDescent="0.25">
      <c r="A39" s="102" t="s">
        <v>72</v>
      </c>
      <c r="B39" s="119">
        <v>280000</v>
      </c>
      <c r="C39" s="153" t="s">
        <v>66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15">
        <f t="shared" si="10"/>
        <v>0</v>
      </c>
      <c r="Q39" s="149">
        <f t="shared" ref="Q39:Q48" si="12">B39</f>
        <v>280000</v>
      </c>
      <c r="R39" s="154">
        <f t="shared" si="11"/>
        <v>280000</v>
      </c>
    </row>
    <row r="40" spans="1:19" ht="15.75" x14ac:dyDescent="0.25">
      <c r="A40" s="143" t="s">
        <v>141</v>
      </c>
      <c r="B40" s="107">
        <v>3200000</v>
      </c>
      <c r="C40" s="109" t="s">
        <v>66</v>
      </c>
      <c r="D40" s="144"/>
      <c r="E40" s="144">
        <f>741400+55485+17690</f>
        <v>814575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15">
        <f t="shared" ref="P40" si="13">SUM(D40:O40)</f>
        <v>814575</v>
      </c>
      <c r="Q40" s="149">
        <f t="shared" ref="Q40" si="14">B40</f>
        <v>3200000</v>
      </c>
      <c r="R40" s="146">
        <f t="shared" ref="R40" si="15">B40-P40</f>
        <v>2385425</v>
      </c>
    </row>
    <row r="41" spans="1:19" ht="15.75" x14ac:dyDescent="0.25">
      <c r="A41" s="143" t="s">
        <v>73</v>
      </c>
      <c r="B41" s="107">
        <v>150000</v>
      </c>
      <c r="C41" s="109" t="s">
        <v>66</v>
      </c>
      <c r="D41" s="144"/>
      <c r="E41" s="144"/>
      <c r="F41" s="144">
        <v>10000</v>
      </c>
      <c r="G41" s="144"/>
      <c r="H41" s="144"/>
      <c r="I41" s="144"/>
      <c r="J41" s="144"/>
      <c r="K41" s="144"/>
      <c r="L41" s="144"/>
      <c r="M41" s="144"/>
      <c r="N41" s="144"/>
      <c r="O41" s="144"/>
      <c r="P41" s="115">
        <f t="shared" si="10"/>
        <v>10000</v>
      </c>
      <c r="Q41" s="149">
        <f t="shared" si="12"/>
        <v>150000</v>
      </c>
      <c r="R41" s="146">
        <f t="shared" si="11"/>
        <v>140000</v>
      </c>
    </row>
    <row r="42" spans="1:19" ht="15.75" x14ac:dyDescent="0.25">
      <c r="A42" s="143" t="s">
        <v>145</v>
      </c>
      <c r="B42" s="107">
        <v>700000</v>
      </c>
      <c r="C42" s="109" t="s">
        <v>66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15">
        <f t="shared" si="10"/>
        <v>0</v>
      </c>
      <c r="Q42" s="149">
        <f t="shared" si="12"/>
        <v>700000</v>
      </c>
      <c r="R42" s="146">
        <f t="shared" si="11"/>
        <v>700000</v>
      </c>
    </row>
    <row r="43" spans="1:19" ht="30" x14ac:dyDescent="0.25">
      <c r="A43" s="143" t="s">
        <v>142</v>
      </c>
      <c r="B43" s="107">
        <v>500000</v>
      </c>
      <c r="C43" s="109" t="s">
        <v>66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15">
        <f t="shared" si="10"/>
        <v>0</v>
      </c>
      <c r="Q43" s="149">
        <f t="shared" si="12"/>
        <v>500000</v>
      </c>
      <c r="R43" s="146">
        <f t="shared" si="11"/>
        <v>500000</v>
      </c>
    </row>
    <row r="44" spans="1:19" ht="30" x14ac:dyDescent="0.25">
      <c r="A44" s="143" t="s">
        <v>148</v>
      </c>
      <c r="B44" s="107">
        <v>400000</v>
      </c>
      <c r="C44" s="109" t="s">
        <v>66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15">
        <f t="shared" ref="P44:P45" si="16">SUM(D44:O44)</f>
        <v>0</v>
      </c>
      <c r="Q44" s="149">
        <f t="shared" ref="Q44:Q45" si="17">B44</f>
        <v>400000</v>
      </c>
      <c r="R44" s="146">
        <f t="shared" ref="R44:R45" si="18">B44-P44</f>
        <v>400000</v>
      </c>
    </row>
    <row r="45" spans="1:19" ht="15.75" x14ac:dyDescent="0.25">
      <c r="A45" s="143" t="s">
        <v>74</v>
      </c>
      <c r="B45" s="107">
        <v>230000</v>
      </c>
      <c r="C45" s="109" t="s">
        <v>66</v>
      </c>
      <c r="D45" s="144"/>
      <c r="E45" s="144"/>
      <c r="F45" s="144">
        <v>17136</v>
      </c>
      <c r="G45" s="144"/>
      <c r="H45" s="144"/>
      <c r="I45" s="144"/>
      <c r="J45" s="144"/>
      <c r="K45" s="144"/>
      <c r="L45" s="144"/>
      <c r="M45" s="144"/>
      <c r="N45" s="144"/>
      <c r="O45" s="144"/>
      <c r="P45" s="115">
        <f t="shared" si="16"/>
        <v>17136</v>
      </c>
      <c r="Q45" s="149">
        <f t="shared" si="17"/>
        <v>230000</v>
      </c>
      <c r="R45" s="146">
        <f t="shared" si="18"/>
        <v>212864</v>
      </c>
    </row>
    <row r="46" spans="1:19" ht="15.75" x14ac:dyDescent="0.25">
      <c r="A46" s="143" t="s">
        <v>144</v>
      </c>
      <c r="B46" s="107">
        <v>300000</v>
      </c>
      <c r="C46" s="109" t="s">
        <v>66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15">
        <f t="shared" si="10"/>
        <v>0</v>
      </c>
      <c r="Q46" s="149">
        <f t="shared" si="12"/>
        <v>300000</v>
      </c>
      <c r="R46" s="146">
        <f t="shared" si="11"/>
        <v>300000</v>
      </c>
    </row>
    <row r="47" spans="1:19" ht="15.75" x14ac:dyDescent="0.25">
      <c r="A47" s="150" t="s">
        <v>143</v>
      </c>
      <c r="B47" s="126">
        <v>200000</v>
      </c>
      <c r="C47" s="127" t="s">
        <v>66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28">
        <f t="shared" si="10"/>
        <v>0</v>
      </c>
      <c r="Q47" s="156">
        <f t="shared" si="12"/>
        <v>200000</v>
      </c>
      <c r="R47" s="157">
        <f t="shared" si="11"/>
        <v>200000</v>
      </c>
    </row>
    <row r="48" spans="1:19" ht="16.5" thickBot="1" x14ac:dyDescent="0.3">
      <c r="A48" s="158" t="s">
        <v>48</v>
      </c>
      <c r="B48" s="159">
        <f>B36+B37</f>
        <v>43408000</v>
      </c>
      <c r="C48" s="159"/>
      <c r="D48" s="159">
        <f t="shared" ref="D48:R48" si="19">D36+D37</f>
        <v>3454225.64</v>
      </c>
      <c r="E48" s="159">
        <f t="shared" si="19"/>
        <v>3708464.58</v>
      </c>
      <c r="F48" s="159">
        <f>F36+F37</f>
        <v>3954926.1700000004</v>
      </c>
      <c r="G48" s="159">
        <f t="shared" si="19"/>
        <v>0</v>
      </c>
      <c r="H48" s="159">
        <f t="shared" si="19"/>
        <v>0</v>
      </c>
      <c r="I48" s="159">
        <f t="shared" si="19"/>
        <v>0</v>
      </c>
      <c r="J48" s="159">
        <f t="shared" si="19"/>
        <v>0</v>
      </c>
      <c r="K48" s="159">
        <f t="shared" si="19"/>
        <v>0</v>
      </c>
      <c r="L48" s="159">
        <f t="shared" si="19"/>
        <v>0</v>
      </c>
      <c r="M48" s="159">
        <f t="shared" si="19"/>
        <v>0</v>
      </c>
      <c r="N48" s="159">
        <f t="shared" si="19"/>
        <v>0</v>
      </c>
      <c r="O48" s="159">
        <f t="shared" si="19"/>
        <v>0</v>
      </c>
      <c r="P48" s="159">
        <f>P36+P37</f>
        <v>11117616.390000001</v>
      </c>
      <c r="Q48" s="159">
        <f t="shared" si="12"/>
        <v>43408000</v>
      </c>
      <c r="R48" s="159">
        <f t="shared" si="19"/>
        <v>6421633.6100000003</v>
      </c>
    </row>
    <row r="49" spans="1:19" s="307" customFormat="1" ht="18" x14ac:dyDescent="0.4">
      <c r="A49" s="321" t="s">
        <v>243</v>
      </c>
      <c r="B49" s="317"/>
      <c r="C49" s="317"/>
      <c r="D49" s="322">
        <v>2446108.39</v>
      </c>
      <c r="E49" s="322">
        <v>2355142.2599999998</v>
      </c>
      <c r="F49" s="322">
        <v>2099694.61</v>
      </c>
      <c r="G49" s="318"/>
      <c r="H49" s="318"/>
      <c r="I49" s="318"/>
      <c r="J49" s="318"/>
      <c r="K49" s="318"/>
      <c r="L49" s="318"/>
      <c r="M49" s="318"/>
      <c r="N49" s="318"/>
      <c r="O49" s="318"/>
      <c r="P49" s="319"/>
      <c r="Q49" s="318"/>
    </row>
    <row r="50" spans="1:19" s="307" customFormat="1" ht="15.75" x14ac:dyDescent="0.25">
      <c r="A50" s="316"/>
      <c r="B50" s="317"/>
      <c r="C50" s="317"/>
      <c r="D50" s="320"/>
      <c r="E50" s="320"/>
      <c r="F50" s="320"/>
      <c r="G50" s="318"/>
      <c r="H50" s="318"/>
      <c r="I50" s="318"/>
      <c r="J50" s="318"/>
      <c r="K50" s="318"/>
      <c r="L50" s="318"/>
      <c r="M50" s="318"/>
      <c r="N50" s="318"/>
      <c r="O50" s="318"/>
      <c r="P50" s="319"/>
      <c r="Q50" s="318"/>
    </row>
    <row r="51" spans="1:19" s="303" customFormat="1" ht="15.75" x14ac:dyDescent="0.25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</row>
    <row r="52" spans="1:19" s="303" customFormat="1" ht="15.75" x14ac:dyDescent="0.25">
      <c r="A52" s="301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s="303" customFormat="1" ht="15.75" x14ac:dyDescent="0.25">
      <c r="A53" s="301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</row>
    <row r="54" spans="1:19" s="303" customFormat="1" ht="15.75" x14ac:dyDescent="0.25">
      <c r="A54" s="301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</row>
    <row r="55" spans="1:19" s="303" customFormat="1" ht="15.75" x14ac:dyDescent="0.25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</row>
    <row r="56" spans="1:19" hidden="1" x14ac:dyDescent="0.25">
      <c r="C56" s="315" t="s">
        <v>240</v>
      </c>
      <c r="D56" s="96">
        <v>2446108.39</v>
      </c>
      <c r="E56" s="96">
        <v>2355142.2599999998</v>
      </c>
      <c r="F56" s="96">
        <v>2099694.61</v>
      </c>
    </row>
    <row r="57" spans="1:19" hidden="1" x14ac:dyDescent="0.25">
      <c r="C57" s="315" t="s">
        <v>238</v>
      </c>
      <c r="D57" s="96">
        <v>20400</v>
      </c>
      <c r="E57" s="96">
        <f>D58</f>
        <v>72600</v>
      </c>
      <c r="F57" s="96">
        <f>E58</f>
        <v>26500</v>
      </c>
    </row>
    <row r="58" spans="1:19" hidden="1" x14ac:dyDescent="0.25">
      <c r="C58" s="315" t="s">
        <v>239</v>
      </c>
      <c r="D58" s="96">
        <v>72600</v>
      </c>
      <c r="E58" s="96">
        <v>26500</v>
      </c>
      <c r="F58" s="96">
        <v>86300</v>
      </c>
    </row>
    <row r="59" spans="1:19" s="160" customFormat="1" hidden="1" x14ac:dyDescent="0.25">
      <c r="A59" s="161"/>
      <c r="B59" s="162"/>
      <c r="C59" s="162"/>
      <c r="D59" s="162">
        <f>D12+D57-D58</f>
        <v>3261480.62</v>
      </c>
      <c r="E59" s="162">
        <f>E12+E57-E58</f>
        <v>3615290.46</v>
      </c>
      <c r="F59" s="162">
        <f>F12+F57-F58</f>
        <v>3713639.7199999997</v>
      </c>
      <c r="G59" s="163"/>
      <c r="H59" s="163"/>
      <c r="I59" s="163"/>
      <c r="J59" s="163"/>
      <c r="K59" s="163"/>
      <c r="L59" s="163"/>
      <c r="M59" s="163"/>
      <c r="N59" s="163"/>
      <c r="O59" s="163"/>
      <c r="P59" s="162"/>
      <c r="Q59" s="162"/>
      <c r="R59" s="162"/>
    </row>
    <row r="60" spans="1:19" s="164" customFormat="1" hidden="1" x14ac:dyDescent="0.25">
      <c r="A60" s="161"/>
      <c r="B60" s="162"/>
      <c r="C60" s="315" t="s">
        <v>241</v>
      </c>
      <c r="D60" s="298">
        <v>3261480.62</v>
      </c>
      <c r="E60" s="298">
        <v>3615290.46</v>
      </c>
      <c r="F60" s="298">
        <v>3713639.72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2"/>
      <c r="Q60" s="162"/>
      <c r="R60" s="162"/>
      <c r="S60" s="160"/>
    </row>
    <row r="61" spans="1:19" s="164" customFormat="1" hidden="1" x14ac:dyDescent="0.25">
      <c r="A61" s="165"/>
      <c r="B61" s="166"/>
      <c r="C61" s="166"/>
      <c r="D61" s="166">
        <f t="shared" ref="D61" si="20">D60-D59</f>
        <v>0</v>
      </c>
      <c r="E61" s="166">
        <f>E60-E59</f>
        <v>0</v>
      </c>
      <c r="F61" s="314">
        <f>F60-F59</f>
        <v>0</v>
      </c>
      <c r="G61" s="167"/>
      <c r="H61" s="167"/>
      <c r="I61" s="167"/>
      <c r="J61" s="167"/>
      <c r="K61" s="167"/>
      <c r="L61" s="167"/>
      <c r="M61" s="167"/>
      <c r="N61" s="167"/>
      <c r="O61" s="167"/>
      <c r="P61" s="166"/>
      <c r="Q61" s="166"/>
      <c r="R61" s="166"/>
      <c r="S61" s="160"/>
    </row>
    <row r="62" spans="1:19" s="160" customFormat="1" hidden="1" x14ac:dyDescent="0.25">
      <c r="A62" s="161"/>
      <c r="B62" s="162"/>
      <c r="C62" s="162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6"/>
      <c r="Q62" s="166"/>
      <c r="R62" s="166"/>
    </row>
    <row r="63" spans="1:19" s="160" customFormat="1" hidden="1" x14ac:dyDescent="0.25">
      <c r="A63" s="161"/>
      <c r="B63" s="162"/>
      <c r="C63" s="162"/>
      <c r="D63" s="167"/>
      <c r="E63" s="16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2"/>
      <c r="Q63" s="166"/>
      <c r="R63" s="166"/>
    </row>
    <row r="64" spans="1:19" s="164" customFormat="1" hidden="1" x14ac:dyDescent="0.25">
      <c r="A64" s="165"/>
      <c r="B64" s="166"/>
      <c r="C64" s="166"/>
      <c r="D64" s="166"/>
      <c r="E64" s="166"/>
      <c r="F64" s="166"/>
      <c r="G64" s="167"/>
      <c r="H64" s="167"/>
      <c r="I64" s="167"/>
      <c r="J64" s="167"/>
      <c r="K64" s="167"/>
      <c r="L64" s="167"/>
      <c r="M64" s="167"/>
      <c r="N64" s="167"/>
      <c r="O64" s="167"/>
      <c r="P64" s="166"/>
      <c r="Q64" s="166"/>
      <c r="R64" s="166"/>
      <c r="S64" s="160"/>
    </row>
    <row r="65" spans="1:19" s="164" customFormat="1" hidden="1" x14ac:dyDescent="0.25">
      <c r="A65" s="161"/>
      <c r="B65" s="162"/>
      <c r="C65" s="162"/>
      <c r="D65" s="167"/>
      <c r="E65" s="162"/>
      <c r="F65" s="162"/>
      <c r="G65" s="163"/>
      <c r="H65" s="163"/>
      <c r="I65" s="163"/>
      <c r="J65" s="163"/>
      <c r="K65" s="163"/>
      <c r="L65" s="163"/>
      <c r="M65" s="163"/>
      <c r="N65" s="163"/>
      <c r="O65" s="163"/>
      <c r="P65" s="162"/>
      <c r="Q65" s="166"/>
      <c r="R65" s="166"/>
      <c r="S65" s="160"/>
    </row>
    <row r="66" spans="1:19" s="164" customFormat="1" hidden="1" x14ac:dyDescent="0.25">
      <c r="A66" s="161"/>
      <c r="B66" s="166"/>
      <c r="C66" s="315" t="s">
        <v>242</v>
      </c>
      <c r="D66" s="298">
        <v>3455685.64</v>
      </c>
      <c r="E66" s="298">
        <v>3706256.59</v>
      </c>
      <c r="F66" s="299">
        <v>3969087.37</v>
      </c>
      <c r="G66" s="167"/>
      <c r="H66" s="167"/>
      <c r="I66" s="167"/>
      <c r="J66" s="167"/>
      <c r="K66" s="167"/>
      <c r="L66" s="167"/>
      <c r="M66" s="167"/>
      <c r="N66" s="167"/>
      <c r="O66" s="167"/>
      <c r="P66" s="166"/>
      <c r="Q66" s="166"/>
      <c r="R66" s="166"/>
      <c r="S66" s="160"/>
    </row>
    <row r="67" spans="1:19" s="164" customFormat="1" hidden="1" x14ac:dyDescent="0.25">
      <c r="A67" s="165"/>
      <c r="B67" s="166"/>
      <c r="C67" s="166" t="s">
        <v>234</v>
      </c>
      <c r="D67" s="300">
        <v>2560</v>
      </c>
      <c r="E67" s="300">
        <f>D68</f>
        <v>1104</v>
      </c>
      <c r="F67" s="300">
        <f>E68</f>
        <v>4574.99</v>
      </c>
      <c r="G67" s="167"/>
      <c r="H67" s="167"/>
      <c r="I67" s="167"/>
      <c r="J67" s="167"/>
      <c r="K67" s="167"/>
      <c r="L67" s="167"/>
      <c r="M67" s="167"/>
      <c r="N67" s="167"/>
      <c r="O67" s="167"/>
      <c r="P67" s="166"/>
      <c r="Q67" s="166"/>
      <c r="R67" s="166"/>
      <c r="S67" s="160"/>
    </row>
    <row r="68" spans="1:19" s="164" customFormat="1" hidden="1" x14ac:dyDescent="0.25">
      <c r="A68" s="165"/>
      <c r="B68" s="166"/>
      <c r="C68" s="305" t="s">
        <v>237</v>
      </c>
      <c r="D68" s="300">
        <v>1104</v>
      </c>
      <c r="E68" s="300">
        <v>4574.99</v>
      </c>
      <c r="F68" s="300">
        <v>0</v>
      </c>
      <c r="G68" s="167"/>
      <c r="H68" s="167"/>
      <c r="I68" s="167"/>
      <c r="J68" s="167"/>
      <c r="K68" s="167"/>
      <c r="L68" s="167"/>
      <c r="M68" s="167"/>
      <c r="N68" s="167"/>
      <c r="O68" s="167"/>
      <c r="P68" s="166"/>
      <c r="Q68" s="166"/>
      <c r="R68" s="166"/>
      <c r="S68" s="160"/>
    </row>
    <row r="69" spans="1:19" s="164" customFormat="1" x14ac:dyDescent="0.25">
      <c r="A69" s="165"/>
      <c r="B69" s="166"/>
      <c r="C69" s="166"/>
      <c r="D69" s="162"/>
      <c r="E69" s="162"/>
      <c r="F69" s="166"/>
      <c r="G69" s="167"/>
      <c r="H69" s="167"/>
      <c r="I69" s="167"/>
      <c r="J69" s="167"/>
      <c r="K69" s="167"/>
      <c r="L69" s="167"/>
      <c r="M69" s="167"/>
      <c r="N69" s="167"/>
      <c r="O69" s="167"/>
      <c r="P69" s="166"/>
      <c r="Q69" s="166"/>
      <c r="R69" s="166"/>
      <c r="S69" s="160"/>
    </row>
    <row r="70" spans="1:19" s="164" customFormat="1" x14ac:dyDescent="0.25">
      <c r="A70" s="165"/>
      <c r="B70" s="166"/>
      <c r="C70" s="166"/>
      <c r="D70" s="162"/>
      <c r="E70" s="162"/>
      <c r="F70" s="166"/>
      <c r="G70" s="167"/>
      <c r="H70" s="167"/>
      <c r="I70" s="167"/>
      <c r="J70" s="167"/>
      <c r="K70" s="167"/>
      <c r="L70" s="167"/>
      <c r="M70" s="167"/>
      <c r="N70" s="167"/>
      <c r="O70" s="169"/>
      <c r="P70" s="170"/>
      <c r="Q70" s="166"/>
      <c r="R70" s="166"/>
      <c r="S70" s="160"/>
    </row>
    <row r="71" spans="1:19" s="164" customFormat="1" x14ac:dyDescent="0.25">
      <c r="A71" s="165"/>
      <c r="B71" s="166"/>
      <c r="C71" s="166"/>
      <c r="D71" s="162"/>
      <c r="E71" s="166"/>
      <c r="F71" s="166"/>
      <c r="G71" s="167"/>
      <c r="H71" s="167"/>
      <c r="I71" s="167"/>
      <c r="J71" s="167"/>
      <c r="K71" s="167"/>
      <c r="L71" s="167"/>
      <c r="M71" s="167"/>
      <c r="N71" s="167"/>
      <c r="O71" s="169"/>
      <c r="P71" s="171"/>
      <c r="Q71" s="166"/>
      <c r="R71" s="166"/>
      <c r="S71" s="160"/>
    </row>
    <row r="72" spans="1:19" s="164" customFormat="1" x14ac:dyDescent="0.25">
      <c r="A72" s="165"/>
      <c r="B72" s="166"/>
      <c r="C72" s="166"/>
      <c r="D72" s="166"/>
      <c r="E72" s="166"/>
      <c r="F72" s="166"/>
      <c r="G72" s="167"/>
      <c r="H72" s="167"/>
      <c r="I72" s="167"/>
      <c r="J72" s="167"/>
      <c r="K72" s="167"/>
      <c r="L72" s="167"/>
      <c r="M72" s="167"/>
      <c r="N72" s="167"/>
      <c r="O72" s="169"/>
      <c r="P72" s="170"/>
      <c r="Q72" s="166"/>
      <c r="R72" s="166"/>
      <c r="S72" s="160"/>
    </row>
    <row r="73" spans="1:19" s="164" customFormat="1" x14ac:dyDescent="0.25">
      <c r="A73" s="165"/>
      <c r="B73" s="166"/>
      <c r="C73" s="166"/>
      <c r="D73" s="166"/>
      <c r="E73" s="166"/>
      <c r="F73" s="166"/>
      <c r="G73" s="167"/>
      <c r="H73" s="167"/>
      <c r="I73" s="167"/>
      <c r="J73" s="167"/>
      <c r="K73" s="167"/>
      <c r="L73" s="167"/>
      <c r="M73" s="167"/>
      <c r="N73" s="167"/>
      <c r="O73" s="167"/>
      <c r="P73" s="166"/>
      <c r="Q73" s="166"/>
      <c r="R73" s="166"/>
      <c r="S73" s="160"/>
    </row>
    <row r="74" spans="1:19" s="164" customFormat="1" x14ac:dyDescent="0.25">
      <c r="A74" s="165"/>
      <c r="B74" s="166"/>
      <c r="C74" s="166"/>
      <c r="D74" s="166"/>
      <c r="E74" s="166"/>
      <c r="F74" s="166"/>
      <c r="G74" s="167"/>
      <c r="H74" s="167"/>
      <c r="I74" s="167"/>
      <c r="J74" s="167"/>
      <c r="K74" s="167"/>
      <c r="L74" s="167"/>
      <c r="M74" s="167"/>
      <c r="N74" s="167"/>
      <c r="O74" s="167"/>
      <c r="P74" s="166"/>
      <c r="Q74" s="166"/>
      <c r="R74" s="166"/>
      <c r="S74" s="160"/>
    </row>
    <row r="75" spans="1:19" s="164" customFormat="1" x14ac:dyDescent="0.25">
      <c r="A75" s="165"/>
      <c r="B75" s="166"/>
      <c r="C75" s="166"/>
      <c r="D75" s="166"/>
      <c r="E75" s="166"/>
      <c r="F75" s="166"/>
      <c r="G75" s="167"/>
      <c r="H75" s="167"/>
      <c r="I75" s="167"/>
      <c r="J75" s="167"/>
      <c r="K75" s="167"/>
      <c r="L75" s="167"/>
      <c r="M75" s="167"/>
      <c r="N75" s="167"/>
      <c r="O75" s="167"/>
      <c r="P75" s="166"/>
      <c r="Q75" s="166"/>
      <c r="R75" s="166"/>
      <c r="S75" s="160"/>
    </row>
    <row r="76" spans="1:19" s="164" customFormat="1" x14ac:dyDescent="0.25">
      <c r="A76" s="165"/>
      <c r="B76" s="166"/>
      <c r="C76" s="166"/>
      <c r="D76" s="166"/>
      <c r="E76" s="166"/>
      <c r="F76" s="166"/>
      <c r="G76" s="167"/>
      <c r="H76" s="167"/>
      <c r="I76" s="167"/>
      <c r="J76" s="167"/>
      <c r="K76" s="167"/>
      <c r="L76" s="167"/>
      <c r="M76" s="167"/>
      <c r="N76" s="167"/>
      <c r="O76" s="167"/>
      <c r="P76" s="166"/>
      <c r="Q76" s="166"/>
      <c r="R76" s="166"/>
      <c r="S76" s="160"/>
    </row>
    <row r="77" spans="1:19" s="164" customFormat="1" x14ac:dyDescent="0.25">
      <c r="A77" s="165"/>
      <c r="B77" s="166"/>
      <c r="C77" s="166"/>
      <c r="D77" s="166"/>
      <c r="E77" s="166"/>
      <c r="F77" s="166"/>
      <c r="G77" s="167"/>
      <c r="H77" s="167"/>
      <c r="I77" s="167"/>
      <c r="J77" s="167"/>
      <c r="K77" s="167"/>
      <c r="L77" s="167"/>
      <c r="M77" s="167"/>
      <c r="N77" s="167"/>
      <c r="O77" s="167"/>
      <c r="P77" s="166"/>
      <c r="Q77" s="166"/>
      <c r="R77" s="166"/>
      <c r="S77" s="160"/>
    </row>
    <row r="78" spans="1:19" s="164" customFormat="1" x14ac:dyDescent="0.25">
      <c r="A78" s="165"/>
      <c r="B78" s="166"/>
      <c r="C78" s="166"/>
      <c r="D78" s="166"/>
      <c r="E78" s="166"/>
      <c r="F78" s="166"/>
      <c r="G78" s="167"/>
      <c r="H78" s="167"/>
      <c r="I78" s="167"/>
      <c r="J78" s="167"/>
      <c r="K78" s="167"/>
      <c r="L78" s="167"/>
      <c r="M78" s="167"/>
      <c r="N78" s="167"/>
      <c r="O78" s="167"/>
      <c r="P78" s="166"/>
      <c r="Q78" s="166"/>
      <c r="R78" s="166"/>
      <c r="S78" s="160"/>
    </row>
    <row r="79" spans="1:19" s="164" customFormat="1" x14ac:dyDescent="0.25">
      <c r="A79" s="165"/>
      <c r="B79" s="166"/>
      <c r="C79" s="166"/>
      <c r="D79" s="166"/>
      <c r="E79" s="166"/>
      <c r="F79" s="166"/>
      <c r="G79" s="167"/>
      <c r="H79" s="167"/>
      <c r="I79" s="167"/>
      <c r="J79" s="167"/>
      <c r="K79" s="167"/>
      <c r="L79" s="167"/>
      <c r="M79" s="167"/>
      <c r="N79" s="167"/>
      <c r="O79" s="167"/>
      <c r="P79" s="166"/>
      <c r="Q79" s="166"/>
      <c r="R79" s="166"/>
      <c r="S79" s="160"/>
    </row>
    <row r="80" spans="1:19" s="164" customFormat="1" x14ac:dyDescent="0.25">
      <c r="A80" s="165"/>
      <c r="B80" s="166"/>
      <c r="C80" s="166"/>
      <c r="D80" s="166"/>
      <c r="E80" s="166"/>
      <c r="F80" s="166"/>
      <c r="G80" s="167"/>
      <c r="H80" s="167"/>
      <c r="I80" s="167"/>
      <c r="J80" s="167"/>
      <c r="K80" s="167"/>
      <c r="L80" s="167"/>
      <c r="M80" s="167"/>
      <c r="N80" s="167"/>
      <c r="O80" s="167"/>
      <c r="P80" s="166"/>
      <c r="Q80" s="166"/>
      <c r="R80" s="166"/>
      <c r="S80" s="160"/>
    </row>
    <row r="81" spans="1:19" s="164" customFormat="1" x14ac:dyDescent="0.25">
      <c r="A81" s="165"/>
      <c r="B81" s="166"/>
      <c r="C81" s="166"/>
      <c r="D81" s="166"/>
      <c r="E81" s="166"/>
      <c r="F81" s="166"/>
      <c r="G81" s="167"/>
      <c r="H81" s="167"/>
      <c r="I81" s="167"/>
      <c r="J81" s="167"/>
      <c r="K81" s="167"/>
      <c r="L81" s="167"/>
      <c r="M81" s="167"/>
      <c r="N81" s="167"/>
      <c r="O81" s="167"/>
      <c r="P81" s="166"/>
      <c r="Q81" s="166"/>
      <c r="R81" s="166"/>
      <c r="S81" s="160"/>
    </row>
    <row r="82" spans="1:19" s="164" customFormat="1" x14ac:dyDescent="0.25">
      <c r="A82" s="165"/>
      <c r="B82" s="166"/>
      <c r="C82" s="166"/>
      <c r="D82" s="166"/>
      <c r="E82" s="166"/>
      <c r="F82" s="166"/>
      <c r="G82" s="167"/>
      <c r="H82" s="167"/>
      <c r="I82" s="167"/>
      <c r="J82" s="167"/>
      <c r="K82" s="167"/>
      <c r="L82" s="167"/>
      <c r="M82" s="167"/>
      <c r="N82" s="167"/>
      <c r="O82" s="167"/>
      <c r="P82" s="166"/>
      <c r="Q82" s="166"/>
      <c r="R82" s="166"/>
      <c r="S82" s="160"/>
    </row>
    <row r="83" spans="1:19" x14ac:dyDescent="0.25">
      <c r="A83" s="165"/>
      <c r="B83" s="166"/>
      <c r="C83" s="166"/>
      <c r="D83" s="166"/>
      <c r="E83" s="166"/>
      <c r="F83" s="166"/>
      <c r="G83" s="167"/>
      <c r="H83" s="167"/>
      <c r="I83" s="167"/>
      <c r="J83" s="167"/>
      <c r="K83" s="167"/>
      <c r="L83" s="167"/>
      <c r="M83" s="167"/>
      <c r="N83" s="167"/>
      <c r="O83" s="167"/>
      <c r="P83" s="166"/>
      <c r="Q83" s="166"/>
      <c r="R83" s="166"/>
      <c r="S83" s="160"/>
    </row>
    <row r="85" spans="1:19" ht="15.75" customHeight="1" x14ac:dyDescent="0.25"/>
    <row r="86" spans="1:19" ht="15.75" customHeight="1" x14ac:dyDescent="0.25"/>
    <row r="87" spans="1:19" ht="15.75" customHeight="1" x14ac:dyDescent="0.25"/>
  </sheetData>
  <mergeCells count="22">
    <mergeCell ref="K3:K4"/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J3:J4"/>
    <mergeCell ref="N3:N4"/>
    <mergeCell ref="O3:O4"/>
    <mergeCell ref="P3:P4"/>
    <mergeCell ref="G3:G4"/>
    <mergeCell ref="H3:H4"/>
    <mergeCell ref="I3:I4"/>
    <mergeCell ref="B3:B4"/>
    <mergeCell ref="C3:C4"/>
    <mergeCell ref="D3:D4"/>
    <mergeCell ref="E3:E4"/>
    <mergeCell ref="F3:F4"/>
  </mergeCells>
  <phoneticPr fontId="22" type="noConversion"/>
  <pageMargins left="0.25" right="0.25" top="0.75" bottom="0.75" header="0.3" footer="0.3"/>
  <pageSetup paperSize="9" scale="55" firstPageNumber="4294967295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H22" sqref="H22"/>
    </sheetView>
  </sheetViews>
  <sheetFormatPr defaultRowHeight="15" x14ac:dyDescent="0.2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 x14ac:dyDescent="0.25">
      <c r="A1" s="172" t="s">
        <v>75</v>
      </c>
      <c r="B1" s="173"/>
      <c r="C1" s="173"/>
      <c r="D1" s="173"/>
      <c r="E1" s="173"/>
      <c r="F1" s="172"/>
      <c r="G1" s="174"/>
      <c r="H1" s="175" t="s">
        <v>76</v>
      </c>
      <c r="I1" s="175"/>
      <c r="J1" s="175"/>
      <c r="K1" s="175"/>
      <c r="L1" s="175"/>
      <c r="M1" s="175"/>
      <c r="N1" s="175"/>
      <c r="O1" s="174"/>
      <c r="P1" s="174"/>
      <c r="Q1" s="174"/>
      <c r="R1" s="174"/>
      <c r="S1" s="174"/>
      <c r="T1" s="174"/>
    </row>
    <row r="2" spans="1:21" x14ac:dyDescent="0.25">
      <c r="A2" s="176" t="s">
        <v>77</v>
      </c>
      <c r="B2" s="86"/>
      <c r="C2" s="86"/>
      <c r="D2" s="86"/>
      <c r="E2" s="86"/>
      <c r="F2" s="371" t="s">
        <v>78</v>
      </c>
      <c r="G2" s="177" t="s">
        <v>79</v>
      </c>
      <c r="H2" s="10" t="s">
        <v>80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77" t="s">
        <v>81</v>
      </c>
    </row>
    <row r="3" spans="1:21" x14ac:dyDescent="0.25">
      <c r="A3" s="13"/>
      <c r="B3" s="14"/>
      <c r="C3" s="14"/>
      <c r="D3" s="14"/>
      <c r="E3" s="14"/>
      <c r="F3" s="372"/>
      <c r="G3" s="178" t="s">
        <v>82</v>
      </c>
      <c r="H3" s="179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0" t="s">
        <v>18</v>
      </c>
      <c r="S3" s="180" t="s">
        <v>19</v>
      </c>
      <c r="T3" s="178"/>
    </row>
    <row r="4" spans="1:21" x14ac:dyDescent="0.25">
      <c r="A4" s="71" t="s">
        <v>83</v>
      </c>
      <c r="B4" s="72"/>
      <c r="C4" s="72"/>
      <c r="D4" s="72"/>
      <c r="E4" s="72"/>
      <c r="F4" s="181">
        <v>25090303</v>
      </c>
      <c r="G4" s="181">
        <f>F4/12</f>
        <v>2090858.5833333333</v>
      </c>
      <c r="H4" s="182">
        <v>2150745</v>
      </c>
      <c r="I4" s="183"/>
      <c r="J4" s="183"/>
      <c r="K4" s="183"/>
      <c r="L4" s="183"/>
      <c r="M4" s="183"/>
      <c r="N4" s="183"/>
      <c r="O4" s="183"/>
      <c r="P4" s="183"/>
      <c r="Q4" s="183"/>
      <c r="R4" s="184"/>
      <c r="S4" s="184"/>
      <c r="T4" s="185">
        <f t="shared" ref="T4:T9" si="0">SUM(H4:S4)</f>
        <v>2150745</v>
      </c>
      <c r="U4" s="186"/>
    </row>
    <row r="5" spans="1:21" x14ac:dyDescent="0.25">
      <c r="A5" s="71" t="s">
        <v>84</v>
      </c>
      <c r="B5" s="72"/>
      <c r="C5" s="72"/>
      <c r="D5" s="72"/>
      <c r="E5" s="72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8"/>
      <c r="S5" s="184"/>
      <c r="T5" s="185">
        <f t="shared" si="0"/>
        <v>0</v>
      </c>
    </row>
    <row r="6" spans="1:21" x14ac:dyDescent="0.25">
      <c r="A6" s="71" t="s">
        <v>85</v>
      </c>
      <c r="B6" s="72"/>
      <c r="C6" s="72"/>
      <c r="D6" s="72"/>
      <c r="E6" s="72"/>
      <c r="F6" s="187"/>
      <c r="G6" s="187"/>
      <c r="H6" s="182">
        <v>36280</v>
      </c>
      <c r="I6" s="183"/>
      <c r="J6" s="183"/>
      <c r="K6" s="183"/>
      <c r="L6" s="183"/>
      <c r="M6" s="183"/>
      <c r="N6" s="183"/>
      <c r="O6" s="183"/>
      <c r="P6" s="183"/>
      <c r="Q6" s="183"/>
      <c r="R6" s="184"/>
      <c r="S6" s="184"/>
      <c r="T6" s="185">
        <f t="shared" si="0"/>
        <v>36280</v>
      </c>
    </row>
    <row r="7" spans="1:21" x14ac:dyDescent="0.25">
      <c r="A7" s="71" t="s">
        <v>86</v>
      </c>
      <c r="B7" s="72"/>
      <c r="C7" s="72"/>
      <c r="D7" s="72"/>
      <c r="E7" s="72"/>
      <c r="F7" s="187"/>
      <c r="G7" s="187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4"/>
      <c r="T7" s="185">
        <f t="shared" si="0"/>
        <v>0</v>
      </c>
      <c r="U7" s="86"/>
    </row>
    <row r="8" spans="1:21" x14ac:dyDescent="0.25">
      <c r="A8" s="71" t="s">
        <v>87</v>
      </c>
      <c r="B8" s="72"/>
      <c r="C8" s="72"/>
      <c r="D8" s="72"/>
      <c r="E8" s="72"/>
      <c r="F8" s="187"/>
      <c r="G8" s="187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  <c r="S8" s="184"/>
      <c r="T8" s="189">
        <f t="shared" si="0"/>
        <v>0</v>
      </c>
    </row>
    <row r="9" spans="1:21" x14ac:dyDescent="0.25">
      <c r="A9" s="187" t="s">
        <v>88</v>
      </c>
      <c r="B9" s="71"/>
      <c r="C9" s="72"/>
      <c r="D9" s="72"/>
      <c r="E9" s="72"/>
      <c r="F9" s="187"/>
      <c r="G9" s="187"/>
      <c r="H9" s="182">
        <f>15000+99836+10860</f>
        <v>125696</v>
      </c>
      <c r="I9" s="183"/>
      <c r="J9" s="187"/>
      <c r="K9" s="187"/>
      <c r="L9" s="187"/>
      <c r="M9" s="187"/>
      <c r="N9" s="187"/>
      <c r="O9" s="187"/>
      <c r="P9" s="183"/>
      <c r="Q9" s="187"/>
      <c r="R9" s="188"/>
      <c r="S9" s="188"/>
      <c r="T9" s="189">
        <f t="shared" si="0"/>
        <v>125696</v>
      </c>
    </row>
    <row r="10" spans="1:21" ht="15.75" x14ac:dyDescent="0.25">
      <c r="A10" s="190"/>
      <c r="B10" s="65" t="s">
        <v>89</v>
      </c>
      <c r="C10" s="65"/>
      <c r="D10" s="65"/>
      <c r="E10" s="65"/>
      <c r="F10" s="191">
        <f>SUM(F4:F9)</f>
        <v>25090303</v>
      </c>
      <c r="G10" s="191">
        <f>SUM(G4:G9)</f>
        <v>2090858.5833333333</v>
      </c>
      <c r="H10" s="192">
        <f>SUM(H4:H9)</f>
        <v>2312721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4"/>
      <c r="S10" s="184"/>
      <c r="T10" s="185">
        <f>SUM(T4:T9)</f>
        <v>2312721</v>
      </c>
    </row>
    <row r="11" spans="1:21" x14ac:dyDescent="0.25">
      <c r="A11" s="72"/>
      <c r="B11" s="72"/>
      <c r="C11" s="72"/>
      <c r="D11" s="72"/>
      <c r="E11" s="72"/>
      <c r="F11" s="173" t="s">
        <v>90</v>
      </c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93"/>
      <c r="S11" s="193"/>
      <c r="T11" s="173"/>
      <c r="U11" s="194" t="s">
        <v>91</v>
      </c>
    </row>
    <row r="12" spans="1:21" x14ac:dyDescent="0.25">
      <c r="A12" s="71" t="s">
        <v>28</v>
      </c>
      <c r="B12" s="72"/>
      <c r="C12" s="72"/>
      <c r="D12" s="72"/>
      <c r="E12" s="72"/>
      <c r="F12" s="195">
        <v>900000</v>
      </c>
      <c r="G12" s="195">
        <f t="shared" ref="G12:G32" si="1">F12/12</f>
        <v>75000</v>
      </c>
      <c r="H12" s="196">
        <v>63332</v>
      </c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184"/>
      <c r="T12" s="197">
        <f t="shared" ref="T12:T32" si="2">SUM(H12:S12)</f>
        <v>63332</v>
      </c>
      <c r="U12" s="198">
        <f t="shared" ref="U12:U32" si="3">G12*12-T12</f>
        <v>836668</v>
      </c>
    </row>
    <row r="13" spans="1:21" x14ac:dyDescent="0.25">
      <c r="A13" s="13" t="s">
        <v>29</v>
      </c>
      <c r="B13" s="14"/>
      <c r="C13" s="14"/>
      <c r="D13" s="14"/>
      <c r="E13" s="14"/>
      <c r="F13" s="199">
        <v>160000</v>
      </c>
      <c r="G13" s="195">
        <f t="shared" si="1"/>
        <v>13333.333333333334</v>
      </c>
      <c r="H13" s="200">
        <v>11634</v>
      </c>
      <c r="I13" s="201"/>
      <c r="J13" s="201"/>
      <c r="K13" s="201"/>
      <c r="L13" s="201"/>
      <c r="M13" s="201"/>
      <c r="N13" s="201"/>
      <c r="O13" s="201"/>
      <c r="P13" s="201"/>
      <c r="Q13" s="201"/>
      <c r="R13" s="202"/>
      <c r="S13" s="202"/>
      <c r="T13" s="185">
        <f t="shared" si="2"/>
        <v>11634</v>
      </c>
      <c r="U13" s="203">
        <f t="shared" si="3"/>
        <v>148366</v>
      </c>
    </row>
    <row r="14" spans="1:21" x14ac:dyDescent="0.25">
      <c r="A14" s="71" t="s">
        <v>30</v>
      </c>
      <c r="B14" s="72"/>
      <c r="C14" s="72"/>
      <c r="D14" s="72"/>
      <c r="E14" s="77"/>
      <c r="F14" s="195">
        <v>140000</v>
      </c>
      <c r="G14" s="195">
        <f t="shared" si="1"/>
        <v>11666.666666666666</v>
      </c>
      <c r="H14" s="196">
        <v>6336</v>
      </c>
      <c r="I14" s="183"/>
      <c r="J14" s="183"/>
      <c r="K14" s="183"/>
      <c r="L14" s="183"/>
      <c r="M14" s="183"/>
      <c r="N14" s="183"/>
      <c r="O14" s="183"/>
      <c r="P14" s="183"/>
      <c r="Q14" s="183"/>
      <c r="R14" s="184"/>
      <c r="S14" s="184"/>
      <c r="T14" s="185">
        <f t="shared" si="2"/>
        <v>6336</v>
      </c>
      <c r="U14" s="198">
        <f t="shared" si="3"/>
        <v>133664</v>
      </c>
    </row>
    <row r="15" spans="1:21" x14ac:dyDescent="0.25">
      <c r="A15" s="13" t="s">
        <v>31</v>
      </c>
      <c r="B15" s="14"/>
      <c r="C15" s="14"/>
      <c r="D15" s="14"/>
      <c r="E15" s="78"/>
      <c r="F15" s="199">
        <v>300000</v>
      </c>
      <c r="G15" s="195">
        <f t="shared" si="1"/>
        <v>25000</v>
      </c>
      <c r="H15" s="200">
        <v>70000</v>
      </c>
      <c r="I15" s="201"/>
      <c r="J15" s="201"/>
      <c r="K15" s="201"/>
      <c r="L15" s="201"/>
      <c r="M15" s="201"/>
      <c r="N15" s="201"/>
      <c r="O15" s="201"/>
      <c r="P15" s="201"/>
      <c r="Q15" s="201"/>
      <c r="R15" s="202"/>
      <c r="S15" s="202"/>
      <c r="T15" s="185">
        <f t="shared" si="2"/>
        <v>70000</v>
      </c>
      <c r="U15" s="203">
        <f t="shared" si="3"/>
        <v>230000</v>
      </c>
    </row>
    <row r="16" spans="1:21" x14ac:dyDescent="0.25">
      <c r="A16" s="13" t="s">
        <v>32</v>
      </c>
      <c r="B16" s="14"/>
      <c r="C16" s="14"/>
      <c r="D16" s="14"/>
      <c r="E16" s="78"/>
      <c r="F16" s="199">
        <v>7890000</v>
      </c>
      <c r="G16" s="195">
        <f t="shared" si="1"/>
        <v>657500</v>
      </c>
      <c r="H16" s="200">
        <v>729871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S16" s="202"/>
      <c r="T16" s="185">
        <f t="shared" si="2"/>
        <v>729871</v>
      </c>
      <c r="U16" s="198">
        <f t="shared" si="3"/>
        <v>7160129</v>
      </c>
    </row>
    <row r="17" spans="1:23" x14ac:dyDescent="0.25">
      <c r="A17" s="13" t="s">
        <v>33</v>
      </c>
      <c r="B17" s="14"/>
      <c r="C17" s="14"/>
      <c r="D17" s="14"/>
      <c r="E17" s="14"/>
      <c r="F17" s="199">
        <v>500000</v>
      </c>
      <c r="G17" s="195">
        <f t="shared" si="1"/>
        <v>41666.666666666664</v>
      </c>
      <c r="H17" s="200">
        <v>9200</v>
      </c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S17" s="202"/>
      <c r="T17" s="185">
        <f t="shared" si="2"/>
        <v>9200</v>
      </c>
      <c r="U17" s="203">
        <f t="shared" si="3"/>
        <v>490800</v>
      </c>
    </row>
    <row r="18" spans="1:23" x14ac:dyDescent="0.25">
      <c r="A18" s="13" t="s">
        <v>34</v>
      </c>
      <c r="B18" s="14"/>
      <c r="C18" s="14"/>
      <c r="D18" s="14"/>
      <c r="E18" s="14"/>
      <c r="F18" s="199">
        <v>2517000</v>
      </c>
      <c r="G18" s="195">
        <f t="shared" si="1"/>
        <v>209750</v>
      </c>
      <c r="H18" s="200">
        <v>215933</v>
      </c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S18" s="202"/>
      <c r="T18" s="185">
        <f t="shared" si="2"/>
        <v>215933</v>
      </c>
      <c r="U18" s="198">
        <f t="shared" si="3"/>
        <v>2301067</v>
      </c>
    </row>
    <row r="19" spans="1:23" x14ac:dyDescent="0.25">
      <c r="A19" s="13" t="s">
        <v>92</v>
      </c>
      <c r="B19" s="14"/>
      <c r="C19" s="14"/>
      <c r="D19" s="14"/>
      <c r="E19" s="14"/>
      <c r="F19" s="199">
        <v>200000</v>
      </c>
      <c r="G19" s="195">
        <f t="shared" si="1"/>
        <v>16666.666666666668</v>
      </c>
      <c r="H19" s="200">
        <v>0</v>
      </c>
      <c r="I19" s="201"/>
      <c r="J19" s="201"/>
      <c r="K19" s="201"/>
      <c r="L19" s="201"/>
      <c r="M19" s="201"/>
      <c r="N19" s="201"/>
      <c r="O19" s="201"/>
      <c r="P19" s="201"/>
      <c r="Q19" s="201"/>
      <c r="R19" s="202"/>
      <c r="S19" s="202"/>
      <c r="T19" s="197">
        <f t="shared" si="2"/>
        <v>0</v>
      </c>
      <c r="U19" s="203">
        <f t="shared" si="3"/>
        <v>200000</v>
      </c>
    </row>
    <row r="20" spans="1:23" x14ac:dyDescent="0.25">
      <c r="A20" s="71" t="s">
        <v>36</v>
      </c>
      <c r="B20" s="72"/>
      <c r="C20" s="72"/>
      <c r="D20" s="72"/>
      <c r="E20" s="72"/>
      <c r="F20" s="195">
        <v>1950000</v>
      </c>
      <c r="G20" s="195">
        <f t="shared" si="1"/>
        <v>162500</v>
      </c>
      <c r="H20" s="204">
        <v>179000</v>
      </c>
      <c r="I20" s="183"/>
      <c r="J20" s="183"/>
      <c r="K20" s="183"/>
      <c r="L20" s="183"/>
      <c r="M20" s="183"/>
      <c r="N20" s="183"/>
      <c r="O20" s="183"/>
      <c r="P20" s="183"/>
      <c r="Q20" s="183"/>
      <c r="R20" s="184"/>
      <c r="S20" s="184"/>
      <c r="T20" s="185">
        <f t="shared" si="2"/>
        <v>179000</v>
      </c>
      <c r="U20" s="198">
        <f t="shared" si="3"/>
        <v>1771000</v>
      </c>
    </row>
    <row r="21" spans="1:23" x14ac:dyDescent="0.25">
      <c r="A21" s="71" t="s">
        <v>37</v>
      </c>
      <c r="B21" s="72"/>
      <c r="C21" s="72"/>
      <c r="D21" s="72"/>
      <c r="E21" s="77"/>
      <c r="F21" s="195">
        <v>7400000</v>
      </c>
      <c r="G21" s="195">
        <f t="shared" si="1"/>
        <v>616666.66666666663</v>
      </c>
      <c r="H21" s="196">
        <v>566600</v>
      </c>
      <c r="I21" s="183"/>
      <c r="J21" s="183"/>
      <c r="K21" s="183"/>
      <c r="L21" s="183"/>
      <c r="M21" s="183"/>
      <c r="N21" s="183"/>
      <c r="O21" s="183"/>
      <c r="P21" s="183"/>
      <c r="Q21" s="183"/>
      <c r="R21" s="184"/>
      <c r="S21" s="184"/>
      <c r="T21" s="185">
        <f t="shared" si="2"/>
        <v>566600</v>
      </c>
      <c r="U21" s="203">
        <f t="shared" si="3"/>
        <v>6833400</v>
      </c>
    </row>
    <row r="22" spans="1:23" x14ac:dyDescent="0.25">
      <c r="A22" s="13" t="s">
        <v>38</v>
      </c>
      <c r="B22" s="14"/>
      <c r="C22" s="14"/>
      <c r="D22" s="14"/>
      <c r="E22" s="14"/>
      <c r="F22" s="199">
        <v>230000</v>
      </c>
      <c r="G22" s="195">
        <f t="shared" si="1"/>
        <v>19166.666666666668</v>
      </c>
      <c r="H22" s="200">
        <v>17252</v>
      </c>
      <c r="I22" s="201"/>
      <c r="J22" s="201"/>
      <c r="K22" s="201"/>
      <c r="L22" s="201"/>
      <c r="M22" s="201"/>
      <c r="N22" s="201"/>
      <c r="O22" s="201"/>
      <c r="P22" s="201"/>
      <c r="Q22" s="201"/>
      <c r="R22" s="202"/>
      <c r="S22" s="202"/>
      <c r="T22" s="185">
        <f t="shared" si="2"/>
        <v>17252</v>
      </c>
      <c r="U22" s="198">
        <f t="shared" si="3"/>
        <v>212748</v>
      </c>
    </row>
    <row r="23" spans="1:23" x14ac:dyDescent="0.25">
      <c r="A23" s="71" t="s">
        <v>39</v>
      </c>
      <c r="B23" s="72"/>
      <c r="C23" s="72"/>
      <c r="D23" s="72"/>
      <c r="E23" s="72"/>
      <c r="F23" s="195">
        <v>1240000</v>
      </c>
      <c r="G23" s="195">
        <f t="shared" si="1"/>
        <v>103333.33333333333</v>
      </c>
      <c r="H23" s="196">
        <v>128037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4"/>
      <c r="S23" s="184"/>
      <c r="T23" s="185">
        <f t="shared" si="2"/>
        <v>128037</v>
      </c>
      <c r="U23" s="203">
        <f t="shared" si="3"/>
        <v>1111963</v>
      </c>
    </row>
    <row r="24" spans="1:23" x14ac:dyDescent="0.25">
      <c r="A24" s="71" t="s">
        <v>93</v>
      </c>
      <c r="B24" s="72"/>
      <c r="C24" s="72"/>
      <c r="D24" s="72"/>
      <c r="E24" s="72"/>
      <c r="F24" s="195">
        <f>250000+480000</f>
        <v>730000</v>
      </c>
      <c r="G24" s="195">
        <f t="shared" si="1"/>
        <v>60833.333333333336</v>
      </c>
      <c r="H24" s="196">
        <v>72400</v>
      </c>
      <c r="I24" s="183"/>
      <c r="J24" s="183"/>
      <c r="K24" s="183"/>
      <c r="L24" s="183"/>
      <c r="M24" s="183"/>
      <c r="N24" s="183"/>
      <c r="O24" s="183"/>
      <c r="P24" s="183"/>
      <c r="Q24" s="183"/>
      <c r="R24" s="184"/>
      <c r="S24" s="184"/>
      <c r="T24" s="185">
        <f t="shared" si="2"/>
        <v>72400</v>
      </c>
      <c r="U24" s="198">
        <f t="shared" si="3"/>
        <v>657600</v>
      </c>
    </row>
    <row r="25" spans="1:23" x14ac:dyDescent="0.25">
      <c r="A25" s="71" t="s">
        <v>41</v>
      </c>
      <c r="B25" s="72"/>
      <c r="C25" s="72"/>
      <c r="D25" s="72"/>
      <c r="E25" s="72"/>
      <c r="F25" s="195">
        <v>250000</v>
      </c>
      <c r="G25" s="195">
        <f t="shared" si="1"/>
        <v>20833.333333333332</v>
      </c>
      <c r="H25" s="196">
        <v>1080</v>
      </c>
      <c r="I25" s="183"/>
      <c r="J25" s="183"/>
      <c r="K25" s="183"/>
      <c r="L25" s="183"/>
      <c r="M25" s="183"/>
      <c r="N25" s="183"/>
      <c r="O25" s="183"/>
      <c r="P25" s="183"/>
      <c r="Q25" s="183"/>
      <c r="R25" s="184"/>
      <c r="S25" s="184"/>
      <c r="T25" s="197">
        <f t="shared" si="2"/>
        <v>1080</v>
      </c>
      <c r="U25" s="203">
        <f t="shared" si="3"/>
        <v>248920</v>
      </c>
    </row>
    <row r="26" spans="1:23" x14ac:dyDescent="0.25">
      <c r="A26" s="71" t="s">
        <v>42</v>
      </c>
      <c r="B26" s="72"/>
      <c r="C26" s="72"/>
      <c r="D26" s="72"/>
      <c r="E26" s="72"/>
      <c r="F26" s="195">
        <v>1800000</v>
      </c>
      <c r="G26" s="195">
        <f t="shared" si="1"/>
        <v>150000</v>
      </c>
      <c r="H26" s="196">
        <v>98486</v>
      </c>
      <c r="I26" s="183"/>
      <c r="J26" s="183"/>
      <c r="K26" s="183"/>
      <c r="L26" s="183"/>
      <c r="M26" s="183"/>
      <c r="N26" s="183"/>
      <c r="O26" s="183"/>
      <c r="P26" s="183"/>
      <c r="Q26" s="183"/>
      <c r="R26" s="184"/>
      <c r="S26" s="184"/>
      <c r="T26" s="185">
        <f t="shared" si="2"/>
        <v>98486</v>
      </c>
      <c r="U26" s="198">
        <f t="shared" si="3"/>
        <v>1701514</v>
      </c>
    </row>
    <row r="27" spans="1:23" x14ac:dyDescent="0.25">
      <c r="A27" s="71" t="s">
        <v>43</v>
      </c>
      <c r="B27" s="72"/>
      <c r="C27" s="72"/>
      <c r="D27" s="72"/>
      <c r="E27" s="72"/>
      <c r="F27" s="195">
        <v>1700000</v>
      </c>
      <c r="G27" s="195">
        <f t="shared" si="1"/>
        <v>141666.66666666666</v>
      </c>
      <c r="H27" s="204">
        <v>0</v>
      </c>
      <c r="I27" s="183"/>
      <c r="J27" s="183"/>
      <c r="K27" s="187"/>
      <c r="L27" s="187"/>
      <c r="M27" s="187"/>
      <c r="N27" s="183"/>
      <c r="O27" s="183"/>
      <c r="P27" s="183"/>
      <c r="Q27" s="183"/>
      <c r="R27" s="184"/>
      <c r="S27" s="184"/>
      <c r="T27" s="197">
        <f t="shared" si="2"/>
        <v>0</v>
      </c>
      <c r="U27" s="203">
        <f t="shared" si="3"/>
        <v>1700000</v>
      </c>
    </row>
    <row r="28" spans="1:23" x14ac:dyDescent="0.25">
      <c r="A28" s="71" t="s">
        <v>94</v>
      </c>
      <c r="B28" s="72"/>
      <c r="C28" s="72"/>
      <c r="D28" s="72"/>
      <c r="E28" s="72"/>
      <c r="F28" s="195"/>
      <c r="G28" s="195">
        <f t="shared" si="1"/>
        <v>0</v>
      </c>
      <c r="H28" s="183">
        <v>0</v>
      </c>
      <c r="I28" s="183"/>
      <c r="J28" s="183"/>
      <c r="K28" s="187"/>
      <c r="L28" s="187"/>
      <c r="M28" s="187"/>
      <c r="N28" s="183"/>
      <c r="O28" s="183"/>
      <c r="P28" s="183"/>
      <c r="Q28" s="183"/>
      <c r="R28" s="184"/>
      <c r="S28" s="184"/>
      <c r="T28" s="197">
        <f t="shared" si="2"/>
        <v>0</v>
      </c>
      <c r="U28" s="198">
        <f t="shared" si="3"/>
        <v>0</v>
      </c>
    </row>
    <row r="29" spans="1:23" x14ac:dyDescent="0.25">
      <c r="A29" s="71" t="s">
        <v>95</v>
      </c>
      <c r="B29" s="72"/>
      <c r="C29" s="72"/>
      <c r="D29" s="72"/>
      <c r="E29" s="72"/>
      <c r="F29" s="195">
        <v>600000</v>
      </c>
      <c r="G29" s="195">
        <f t="shared" si="1"/>
        <v>50000</v>
      </c>
      <c r="H29" s="196">
        <v>22864</v>
      </c>
      <c r="I29" s="183"/>
      <c r="J29" s="183"/>
      <c r="K29" s="187"/>
      <c r="L29" s="187"/>
      <c r="M29" s="187"/>
      <c r="N29" s="183"/>
      <c r="O29" s="183"/>
      <c r="P29" s="183"/>
      <c r="Q29" s="183"/>
      <c r="R29" s="184"/>
      <c r="S29" s="184"/>
      <c r="T29" s="185">
        <f t="shared" si="2"/>
        <v>22864</v>
      </c>
      <c r="U29" s="203">
        <f t="shared" si="3"/>
        <v>577136</v>
      </c>
    </row>
    <row r="30" spans="1:23" x14ac:dyDescent="0.25">
      <c r="A30" s="71" t="s">
        <v>45</v>
      </c>
      <c r="B30" s="72"/>
      <c r="C30" s="72"/>
      <c r="D30" s="72"/>
      <c r="E30" s="72"/>
      <c r="F30" s="195">
        <v>250000</v>
      </c>
      <c r="G30" s="195">
        <f t="shared" si="1"/>
        <v>20833.333333333332</v>
      </c>
      <c r="H30" s="196">
        <v>11304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4"/>
      <c r="S30" s="184"/>
      <c r="T30" s="185">
        <f t="shared" si="2"/>
        <v>11304</v>
      </c>
      <c r="U30" s="198">
        <f t="shared" si="3"/>
        <v>238696</v>
      </c>
    </row>
    <row r="31" spans="1:23" x14ac:dyDescent="0.25">
      <c r="A31" s="71" t="s">
        <v>96</v>
      </c>
      <c r="B31" s="72"/>
      <c r="C31" s="72"/>
      <c r="D31" s="72"/>
      <c r="E31" s="72"/>
      <c r="F31" s="195">
        <v>719200</v>
      </c>
      <c r="G31" s="195">
        <f t="shared" si="1"/>
        <v>59933.333333333336</v>
      </c>
      <c r="H31" s="183">
        <v>0</v>
      </c>
      <c r="I31" s="183"/>
      <c r="J31" s="183"/>
      <c r="K31" s="183"/>
      <c r="L31" s="183"/>
      <c r="M31" s="183"/>
      <c r="N31" s="183"/>
      <c r="O31" s="183"/>
      <c r="P31" s="183"/>
      <c r="Q31" s="183"/>
      <c r="R31" s="184"/>
      <c r="S31" s="184"/>
      <c r="T31" s="185">
        <f t="shared" si="2"/>
        <v>0</v>
      </c>
      <c r="U31" s="203">
        <f t="shared" si="3"/>
        <v>719200</v>
      </c>
    </row>
    <row r="32" spans="1:23" x14ac:dyDescent="0.25">
      <c r="A32" s="71" t="s">
        <v>47</v>
      </c>
      <c r="B32" s="72"/>
      <c r="C32" s="72"/>
      <c r="D32" s="72"/>
      <c r="E32" s="72"/>
      <c r="F32" s="195">
        <v>1473800</v>
      </c>
      <c r="G32" s="195">
        <f t="shared" si="1"/>
        <v>122816.66666666667</v>
      </c>
      <c r="H32" s="183">
        <v>0</v>
      </c>
      <c r="I32" s="183"/>
      <c r="J32" s="183"/>
      <c r="K32" s="187"/>
      <c r="L32" s="187"/>
      <c r="M32" s="187"/>
      <c r="N32" s="183"/>
      <c r="O32" s="183"/>
      <c r="P32" s="183"/>
      <c r="Q32" s="183"/>
      <c r="R32" s="184"/>
      <c r="S32" s="184"/>
      <c r="T32" s="197">
        <f t="shared" si="2"/>
        <v>0</v>
      </c>
      <c r="U32" s="203">
        <f t="shared" si="3"/>
        <v>1473800</v>
      </c>
      <c r="V32" s="86"/>
      <c r="W32" s="86"/>
    </row>
    <row r="33" spans="1:21" ht="15.75" x14ac:dyDescent="0.25">
      <c r="A33" s="205" t="s">
        <v>97</v>
      </c>
      <c r="B33" s="173"/>
      <c r="C33" s="72"/>
      <c r="D33" s="72"/>
      <c r="E33" s="72"/>
      <c r="F33" s="206">
        <f>SUM(F12:F32)</f>
        <v>30950000</v>
      </c>
      <c r="G33" s="206">
        <f>SUM(G12:G32)</f>
        <v>2579166.6666666665</v>
      </c>
      <c r="H33" s="206">
        <f>SUM(H12:H32)</f>
        <v>2203329</v>
      </c>
      <c r="I33" s="183">
        <f t="shared" ref="I33:T33" si="4">SUM(I12:I32)</f>
        <v>0</v>
      </c>
      <c r="J33" s="183">
        <f t="shared" si="4"/>
        <v>0</v>
      </c>
      <c r="K33" s="183">
        <f t="shared" si="4"/>
        <v>0</v>
      </c>
      <c r="L33" s="183">
        <f t="shared" si="4"/>
        <v>0</v>
      </c>
      <c r="M33" s="183">
        <f t="shared" si="4"/>
        <v>0</v>
      </c>
      <c r="N33" s="183">
        <f t="shared" si="4"/>
        <v>0</v>
      </c>
      <c r="O33" s="183">
        <f t="shared" si="4"/>
        <v>0</v>
      </c>
      <c r="P33" s="183">
        <f t="shared" si="4"/>
        <v>0</v>
      </c>
      <c r="Q33" s="183">
        <f t="shared" si="4"/>
        <v>0</v>
      </c>
      <c r="R33" s="184">
        <f t="shared" si="4"/>
        <v>0</v>
      </c>
      <c r="S33" s="184">
        <f t="shared" si="4"/>
        <v>0</v>
      </c>
      <c r="T33" s="185">
        <f t="shared" si="4"/>
        <v>2203329</v>
      </c>
      <c r="U33" s="198">
        <f>SUM(U12:U32)</f>
        <v>28746671</v>
      </c>
    </row>
    <row r="35" spans="1:21" x14ac:dyDescent="0.25">
      <c r="Q35" s="207"/>
    </row>
    <row r="37" spans="1:21" x14ac:dyDescent="0.25">
      <c r="T37" s="186"/>
    </row>
    <row r="40" spans="1:21" x14ac:dyDescent="0.25">
      <c r="O40" s="86"/>
    </row>
  </sheetData>
  <mergeCells count="1">
    <mergeCell ref="F2:F3"/>
  </mergeCells>
  <phoneticPr fontId="22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9"/>
  <sheetViews>
    <sheetView topLeftCell="A23" zoomScale="115" workbookViewId="0">
      <selection activeCell="A37" sqref="A37:XFD91"/>
    </sheetView>
  </sheetViews>
  <sheetFormatPr defaultRowHeight="15" x14ac:dyDescent="0.25"/>
  <cols>
    <col min="1" max="1" width="34.85546875" style="95" bestFit="1" customWidth="1"/>
    <col min="2" max="2" width="11.85546875" style="97" bestFit="1" customWidth="1"/>
    <col min="3" max="3" width="10.7109375" style="97" customWidth="1"/>
    <col min="4" max="4" width="9.28515625" style="97" bestFit="1" customWidth="1"/>
    <col min="5" max="5" width="12" style="97" bestFit="1" customWidth="1"/>
    <col min="6" max="6" width="9.28515625" style="97" bestFit="1" customWidth="1"/>
    <col min="7" max="7" width="8" style="97" customWidth="1"/>
    <col min="8" max="8" width="8.140625" style="97" customWidth="1"/>
    <col min="9" max="9" width="8" style="97" customWidth="1"/>
    <col min="10" max="10" width="8.140625" style="97" customWidth="1"/>
    <col min="11" max="12" width="7.7109375" style="97" customWidth="1"/>
    <col min="13" max="13" width="9.28515625" style="97" bestFit="1" customWidth="1"/>
    <col min="14" max="14" width="12.85546875" style="96" bestFit="1" customWidth="1"/>
  </cols>
  <sheetData>
    <row r="1" spans="1:14" x14ac:dyDescent="0.25">
      <c r="A1" s="208" t="s">
        <v>28</v>
      </c>
      <c r="B1" s="282"/>
      <c r="C1" s="282"/>
      <c r="D1" s="282"/>
      <c r="E1" s="282"/>
      <c r="F1" s="283"/>
      <c r="G1" s="283" t="str">
        <f>'ВСЕ затраты'!B1</f>
        <v>2023-2024гг.</v>
      </c>
      <c r="H1" s="282"/>
      <c r="I1" s="282"/>
      <c r="J1" s="282"/>
      <c r="K1" s="282"/>
      <c r="L1" s="282"/>
      <c r="M1" s="282"/>
      <c r="N1" s="211"/>
    </row>
    <row r="2" spans="1:14" x14ac:dyDescent="0.25">
      <c r="A2" s="212"/>
      <c r="B2" s="276" t="s">
        <v>4</v>
      </c>
      <c r="C2" s="276" t="s">
        <v>5</v>
      </c>
      <c r="D2" s="275" t="s">
        <v>6</v>
      </c>
      <c r="E2" s="276" t="s">
        <v>7</v>
      </c>
      <c r="F2" s="276" t="s">
        <v>8</v>
      </c>
      <c r="G2" s="284" t="s">
        <v>9</v>
      </c>
      <c r="H2" s="276" t="s">
        <v>14</v>
      </c>
      <c r="I2" s="284" t="s">
        <v>15</v>
      </c>
      <c r="J2" s="276" t="s">
        <v>16</v>
      </c>
      <c r="K2" s="276" t="s">
        <v>17</v>
      </c>
      <c r="L2" s="276" t="s">
        <v>18</v>
      </c>
      <c r="M2" s="276" t="s">
        <v>19</v>
      </c>
      <c r="N2" s="216" t="s">
        <v>98</v>
      </c>
    </row>
    <row r="3" spans="1:14" x14ac:dyDescent="0.25">
      <c r="A3" s="217"/>
      <c r="B3" s="266"/>
      <c r="C3" s="266"/>
      <c r="D3" s="267"/>
      <c r="E3" s="266"/>
      <c r="F3" s="266"/>
      <c r="G3" s="270"/>
      <c r="H3" s="266"/>
      <c r="I3" s="270"/>
      <c r="J3" s="266"/>
      <c r="K3" s="266"/>
      <c r="L3" s="266"/>
      <c r="M3" s="266"/>
      <c r="N3" s="220"/>
    </row>
    <row r="4" spans="1:14" x14ac:dyDescent="0.25">
      <c r="A4" s="221" t="s">
        <v>99</v>
      </c>
      <c r="B4" s="264">
        <v>11000</v>
      </c>
      <c r="C4" s="264">
        <v>11000</v>
      </c>
      <c r="D4" s="264">
        <v>11000</v>
      </c>
      <c r="E4" s="264"/>
      <c r="F4" s="264"/>
      <c r="G4" s="265"/>
      <c r="H4" s="264"/>
      <c r="I4" s="265"/>
      <c r="J4" s="264"/>
      <c r="K4" s="264"/>
      <c r="L4" s="264"/>
      <c r="M4" s="264"/>
      <c r="N4" s="220">
        <f t="shared" ref="N4:N36" si="0">SUM(B4:M4)</f>
        <v>33000</v>
      </c>
    </row>
    <row r="5" spans="1:14" x14ac:dyDescent="0.25">
      <c r="A5" s="221" t="s">
        <v>100</v>
      </c>
      <c r="B5" s="264">
        <f>1000+2000+4000</f>
        <v>7000</v>
      </c>
      <c r="C5" s="264">
        <f>4000+1000</f>
        <v>5000</v>
      </c>
      <c r="D5" s="264">
        <v>6000</v>
      </c>
      <c r="E5" s="266"/>
      <c r="F5" s="266"/>
      <c r="G5" s="270"/>
      <c r="H5" s="266"/>
      <c r="I5" s="270"/>
      <c r="J5" s="266"/>
      <c r="K5" s="266"/>
      <c r="L5" s="266"/>
      <c r="M5" s="266"/>
      <c r="N5" s="220">
        <f t="shared" si="0"/>
        <v>18000</v>
      </c>
    </row>
    <row r="6" spans="1:14" x14ac:dyDescent="0.25">
      <c r="A6" s="221" t="s">
        <v>101</v>
      </c>
      <c r="B6" s="264">
        <v>22723.31</v>
      </c>
      <c r="C6" s="264">
        <v>7180.69</v>
      </c>
      <c r="D6" s="264">
        <v>6592.79</v>
      </c>
      <c r="E6" s="285"/>
      <c r="F6" s="264"/>
      <c r="G6" s="265"/>
      <c r="H6" s="264"/>
      <c r="I6" s="264"/>
      <c r="J6" s="264"/>
      <c r="K6" s="264"/>
      <c r="L6" s="264"/>
      <c r="M6" s="264"/>
      <c r="N6" s="220">
        <f t="shared" si="0"/>
        <v>36496.79</v>
      </c>
    </row>
    <row r="7" spans="1:14" x14ac:dyDescent="0.25">
      <c r="A7" s="221" t="s">
        <v>134</v>
      </c>
      <c r="B7" s="264"/>
      <c r="C7" s="264">
        <v>15628</v>
      </c>
      <c r="D7" s="264"/>
      <c r="E7" s="265"/>
      <c r="F7" s="264"/>
      <c r="G7" s="265"/>
      <c r="H7" s="264"/>
      <c r="I7" s="264"/>
      <c r="J7" s="264"/>
      <c r="K7" s="264"/>
      <c r="L7" s="264"/>
      <c r="M7" s="264"/>
      <c r="N7" s="220">
        <f t="shared" si="0"/>
        <v>15628</v>
      </c>
    </row>
    <row r="8" spans="1:14" x14ac:dyDescent="0.25">
      <c r="A8" s="224" t="s">
        <v>102</v>
      </c>
      <c r="B8" s="264">
        <v>961.6</v>
      </c>
      <c r="C8" s="264"/>
      <c r="D8" s="264"/>
      <c r="E8" s="265"/>
      <c r="F8" s="264"/>
      <c r="G8" s="265"/>
      <c r="H8" s="264"/>
      <c r="I8" s="264"/>
      <c r="J8" s="264"/>
      <c r="K8" s="264"/>
      <c r="L8" s="264"/>
      <c r="M8" s="264"/>
      <c r="N8" s="220">
        <f t="shared" si="0"/>
        <v>961.6</v>
      </c>
    </row>
    <row r="9" spans="1:14" x14ac:dyDescent="0.25">
      <c r="A9" s="217" t="s">
        <v>103</v>
      </c>
      <c r="B9" s="266">
        <f>2127.2+2147.6</f>
        <v>4274.7999999999993</v>
      </c>
      <c r="C9" s="266">
        <f>2167.2+2167.2+2448.08</f>
        <v>6782.48</v>
      </c>
      <c r="D9" s="266">
        <f>2203+1015.76+2954.7</f>
        <v>6173.46</v>
      </c>
      <c r="E9" s="270"/>
      <c r="F9" s="266"/>
      <c r="G9" s="270"/>
      <c r="H9" s="266"/>
      <c r="I9" s="270"/>
      <c r="J9" s="266"/>
      <c r="K9" s="266"/>
      <c r="L9" s="266"/>
      <c r="M9" s="266"/>
      <c r="N9" s="220">
        <f t="shared" si="0"/>
        <v>17230.739999999998</v>
      </c>
    </row>
    <row r="10" spans="1:14" x14ac:dyDescent="0.25">
      <c r="A10" s="225" t="s">
        <v>104</v>
      </c>
      <c r="B10" s="266"/>
      <c r="C10" s="266"/>
      <c r="D10" s="266">
        <v>1200</v>
      </c>
      <c r="E10" s="270"/>
      <c r="F10" s="266"/>
      <c r="G10" s="270"/>
      <c r="H10" s="266"/>
      <c r="I10" s="270"/>
      <c r="J10" s="266"/>
      <c r="K10" s="266"/>
      <c r="L10" s="266"/>
      <c r="M10" s="266"/>
      <c r="N10" s="220">
        <f t="shared" si="0"/>
        <v>1200</v>
      </c>
    </row>
    <row r="11" spans="1:14" x14ac:dyDescent="0.25">
      <c r="A11" s="224" t="s">
        <v>105</v>
      </c>
      <c r="B11" s="264"/>
      <c r="C11" s="264"/>
      <c r="D11" s="264">
        <f>3850.65+160+255+645</f>
        <v>4910.6499999999996</v>
      </c>
      <c r="E11" s="265"/>
      <c r="F11" s="264"/>
      <c r="G11" s="265"/>
      <c r="H11" s="264"/>
      <c r="I11" s="265"/>
      <c r="J11" s="264"/>
      <c r="K11" s="264"/>
      <c r="L11" s="264"/>
      <c r="M11" s="264"/>
      <c r="N11" s="220">
        <f t="shared" si="0"/>
        <v>4910.6499999999996</v>
      </c>
    </row>
    <row r="12" spans="1:14" x14ac:dyDescent="0.25">
      <c r="A12" s="224" t="s">
        <v>233</v>
      </c>
      <c r="B12" s="266"/>
      <c r="C12" s="266">
        <v>6000</v>
      </c>
      <c r="D12" s="266">
        <f>4800+10000</f>
        <v>14800</v>
      </c>
      <c r="E12" s="270"/>
      <c r="F12" s="266"/>
      <c r="G12" s="270"/>
      <c r="H12" s="266"/>
      <c r="I12" s="270"/>
      <c r="J12" s="266"/>
      <c r="K12" s="266"/>
      <c r="L12" s="266"/>
      <c r="M12" s="266"/>
      <c r="N12" s="220">
        <f t="shared" si="0"/>
        <v>20800</v>
      </c>
    </row>
    <row r="13" spans="1:14" x14ac:dyDescent="0.25">
      <c r="A13" s="224" t="s">
        <v>106</v>
      </c>
      <c r="B13" s="266">
        <v>308</v>
      </c>
      <c r="C13" s="266">
        <v>335</v>
      </c>
      <c r="D13" s="266">
        <v>283.56</v>
      </c>
      <c r="E13" s="270"/>
      <c r="F13" s="266"/>
      <c r="G13" s="270"/>
      <c r="H13" s="266"/>
      <c r="I13" s="270"/>
      <c r="J13" s="266"/>
      <c r="K13" s="266"/>
      <c r="L13" s="266"/>
      <c r="M13" s="266"/>
      <c r="N13" s="220">
        <f t="shared" si="0"/>
        <v>926.56</v>
      </c>
    </row>
    <row r="14" spans="1:14" x14ac:dyDescent="0.25">
      <c r="A14" s="224" t="s">
        <v>150</v>
      </c>
      <c r="B14" s="266">
        <v>910</v>
      </c>
      <c r="C14" s="266"/>
      <c r="D14" s="266"/>
      <c r="E14" s="270"/>
      <c r="F14" s="266"/>
      <c r="G14" s="270"/>
      <c r="H14" s="266"/>
      <c r="I14" s="270"/>
      <c r="J14" s="266"/>
      <c r="K14" s="266"/>
      <c r="L14" s="266"/>
      <c r="M14" s="266"/>
      <c r="N14" s="220">
        <f t="shared" si="0"/>
        <v>910</v>
      </c>
    </row>
    <row r="15" spans="1:14" x14ac:dyDescent="0.25">
      <c r="A15" s="224" t="s">
        <v>153</v>
      </c>
      <c r="B15" s="266">
        <f>12200+8960</f>
        <v>21160</v>
      </c>
      <c r="C15" s="266">
        <v>2013</v>
      </c>
      <c r="D15" s="266"/>
      <c r="E15" s="270"/>
      <c r="F15" s="266"/>
      <c r="G15" s="270"/>
      <c r="H15" s="266"/>
      <c r="I15" s="270"/>
      <c r="J15" s="266"/>
      <c r="K15" s="266"/>
      <c r="L15" s="266"/>
      <c r="M15" s="266"/>
      <c r="N15" s="220">
        <f t="shared" si="0"/>
        <v>23173</v>
      </c>
    </row>
    <row r="16" spans="1:14" x14ac:dyDescent="0.25">
      <c r="A16" s="224" t="s">
        <v>154</v>
      </c>
      <c r="B16" s="266">
        <f>8600+400</f>
        <v>9000</v>
      </c>
      <c r="C16" s="266"/>
      <c r="D16" s="266"/>
      <c r="E16" s="270"/>
      <c r="F16" s="266"/>
      <c r="G16" s="270"/>
      <c r="H16" s="266"/>
      <c r="I16" s="270"/>
      <c r="J16" s="266"/>
      <c r="K16" s="266"/>
      <c r="L16" s="266"/>
      <c r="M16" s="266"/>
      <c r="N16" s="220">
        <f t="shared" si="0"/>
        <v>9000</v>
      </c>
    </row>
    <row r="17" spans="1:14" x14ac:dyDescent="0.25">
      <c r="A17" s="226" t="s">
        <v>155</v>
      </c>
      <c r="B17" s="266">
        <v>4890</v>
      </c>
      <c r="C17" s="266"/>
      <c r="D17" s="266"/>
      <c r="E17" s="270"/>
      <c r="F17" s="266"/>
      <c r="G17" s="270"/>
      <c r="H17" s="266"/>
      <c r="I17" s="270"/>
      <c r="J17" s="266"/>
      <c r="K17" s="266"/>
      <c r="L17" s="266"/>
      <c r="M17" s="266"/>
      <c r="N17" s="220">
        <f t="shared" si="0"/>
        <v>4890</v>
      </c>
    </row>
    <row r="18" spans="1:14" ht="25.5" x14ac:dyDescent="0.25">
      <c r="A18" s="227" t="s">
        <v>156</v>
      </c>
      <c r="B18" s="264">
        <v>14551</v>
      </c>
      <c r="C18" s="264"/>
      <c r="D18" s="264">
        <v>11793</v>
      </c>
      <c r="E18" s="265"/>
      <c r="F18" s="264"/>
      <c r="G18" s="265"/>
      <c r="H18" s="264"/>
      <c r="I18" s="265"/>
      <c r="J18" s="264"/>
      <c r="K18" s="264"/>
      <c r="L18" s="264"/>
      <c r="M18" s="264"/>
      <c r="N18" s="220">
        <f t="shared" si="0"/>
        <v>26344</v>
      </c>
    </row>
    <row r="19" spans="1:14" x14ac:dyDescent="0.25">
      <c r="A19" s="224" t="s">
        <v>165</v>
      </c>
      <c r="B19" s="266">
        <v>1020</v>
      </c>
      <c r="C19" s="266"/>
      <c r="D19" s="266"/>
      <c r="E19" s="270"/>
      <c r="F19" s="264"/>
      <c r="G19" s="270"/>
      <c r="H19" s="266"/>
      <c r="I19" s="270"/>
      <c r="J19" s="266"/>
      <c r="K19" s="266"/>
      <c r="L19" s="266"/>
      <c r="M19" s="266"/>
      <c r="N19" s="220">
        <f t="shared" si="0"/>
        <v>1020</v>
      </c>
    </row>
    <row r="20" spans="1:14" x14ac:dyDescent="0.25">
      <c r="A20" s="224" t="s">
        <v>166</v>
      </c>
      <c r="B20" s="264">
        <v>120</v>
      </c>
      <c r="C20" s="264"/>
      <c r="D20" s="264"/>
      <c r="E20" s="265"/>
      <c r="F20" s="264"/>
      <c r="G20" s="265"/>
      <c r="H20" s="264"/>
      <c r="I20" s="265"/>
      <c r="J20" s="264"/>
      <c r="K20" s="264"/>
      <c r="L20" s="264"/>
      <c r="M20" s="264"/>
      <c r="N20" s="220">
        <f t="shared" si="0"/>
        <v>120</v>
      </c>
    </row>
    <row r="21" spans="1:14" x14ac:dyDescent="0.25">
      <c r="A21" s="217" t="s">
        <v>167</v>
      </c>
      <c r="B21" s="286">
        <v>780</v>
      </c>
      <c r="C21" s="266"/>
      <c r="D21" s="266">
        <f>2375+500</f>
        <v>2875</v>
      </c>
      <c r="E21" s="270"/>
      <c r="F21" s="266"/>
      <c r="G21" s="270"/>
      <c r="H21" s="266"/>
      <c r="I21" s="270"/>
      <c r="J21" s="266"/>
      <c r="K21" s="266"/>
      <c r="L21" s="266"/>
      <c r="M21" s="266"/>
      <c r="N21" s="220">
        <f t="shared" si="0"/>
        <v>3655</v>
      </c>
    </row>
    <row r="22" spans="1:14" x14ac:dyDescent="0.25">
      <c r="A22" s="217" t="s">
        <v>169</v>
      </c>
      <c r="B22" s="266"/>
      <c r="C22" s="266">
        <f>1494+53994</f>
        <v>55488</v>
      </c>
      <c r="D22" s="266"/>
      <c r="E22" s="270"/>
      <c r="F22" s="266"/>
      <c r="G22" s="270"/>
      <c r="H22" s="266"/>
      <c r="I22" s="270"/>
      <c r="J22" s="266"/>
      <c r="K22" s="266"/>
      <c r="L22" s="266"/>
      <c r="M22" s="266"/>
      <c r="N22" s="220">
        <f t="shared" si="0"/>
        <v>55488</v>
      </c>
    </row>
    <row r="23" spans="1:14" x14ac:dyDescent="0.25">
      <c r="A23" s="225" t="s">
        <v>175</v>
      </c>
      <c r="B23" s="266"/>
      <c r="C23" s="266">
        <v>2100</v>
      </c>
      <c r="D23" s="266"/>
      <c r="E23" s="270"/>
      <c r="F23" s="266"/>
      <c r="G23" s="270"/>
      <c r="H23" s="266"/>
      <c r="I23" s="270"/>
      <c r="J23" s="266"/>
      <c r="K23" s="266"/>
      <c r="L23" s="266"/>
      <c r="M23" s="266"/>
      <c r="N23" s="220">
        <f t="shared" si="0"/>
        <v>2100</v>
      </c>
    </row>
    <row r="24" spans="1:14" x14ac:dyDescent="0.25">
      <c r="A24" s="224" t="s">
        <v>179</v>
      </c>
      <c r="B24" s="264"/>
      <c r="C24" s="264">
        <v>8352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20">
        <f t="shared" si="0"/>
        <v>8352</v>
      </c>
    </row>
    <row r="25" spans="1:14" x14ac:dyDescent="0.25">
      <c r="A25" s="224" t="s">
        <v>180</v>
      </c>
      <c r="B25" s="264"/>
      <c r="C25" s="285">
        <v>617</v>
      </c>
      <c r="D25" s="264"/>
      <c r="E25" s="270"/>
      <c r="F25" s="266"/>
      <c r="G25" s="270"/>
      <c r="H25" s="266"/>
      <c r="I25" s="270"/>
      <c r="J25" s="266"/>
      <c r="K25" s="266"/>
      <c r="L25" s="266"/>
      <c r="M25" s="266"/>
      <c r="N25" s="220">
        <f t="shared" si="0"/>
        <v>617</v>
      </c>
    </row>
    <row r="26" spans="1:14" x14ac:dyDescent="0.25">
      <c r="A26" s="228" t="s">
        <v>181</v>
      </c>
      <c r="B26" s="269"/>
      <c r="C26" s="287">
        <v>129</v>
      </c>
      <c r="D26" s="264"/>
      <c r="E26" s="270"/>
      <c r="F26" s="266"/>
      <c r="G26" s="270"/>
      <c r="H26" s="266"/>
      <c r="I26" s="270"/>
      <c r="J26" s="266"/>
      <c r="K26" s="266"/>
      <c r="L26" s="266"/>
      <c r="M26" s="266"/>
      <c r="N26" s="220">
        <f t="shared" si="0"/>
        <v>129</v>
      </c>
    </row>
    <row r="27" spans="1:14" x14ac:dyDescent="0.25">
      <c r="A27" s="281" t="s">
        <v>182</v>
      </c>
      <c r="B27" s="269"/>
      <c r="C27" s="269">
        <v>422</v>
      </c>
      <c r="D27" s="285"/>
      <c r="E27" s="266"/>
      <c r="F27" s="266"/>
      <c r="G27" s="270"/>
      <c r="H27" s="266"/>
      <c r="I27" s="270"/>
      <c r="J27" s="266"/>
      <c r="K27" s="266"/>
      <c r="L27" s="266"/>
      <c r="M27" s="266"/>
      <c r="N27" s="220">
        <f t="shared" si="0"/>
        <v>422</v>
      </c>
    </row>
    <row r="28" spans="1:14" x14ac:dyDescent="0.25">
      <c r="A28" s="228" t="s">
        <v>192</v>
      </c>
      <c r="B28" s="269"/>
      <c r="C28" s="269">
        <v>985</v>
      </c>
      <c r="D28" s="264"/>
      <c r="E28" s="266"/>
      <c r="F28" s="266"/>
      <c r="G28" s="270"/>
      <c r="H28" s="266"/>
      <c r="I28" s="270"/>
      <c r="J28" s="266"/>
      <c r="K28" s="266"/>
      <c r="L28" s="266"/>
      <c r="M28" s="266"/>
      <c r="N28" s="220">
        <f t="shared" si="0"/>
        <v>985</v>
      </c>
    </row>
    <row r="29" spans="1:14" x14ac:dyDescent="0.25">
      <c r="A29" s="224" t="s">
        <v>193</v>
      </c>
      <c r="B29" s="264"/>
      <c r="C29" s="264">
        <v>1888</v>
      </c>
      <c r="D29" s="264"/>
      <c r="E29" s="264"/>
      <c r="F29" s="264"/>
      <c r="G29" s="265"/>
      <c r="H29" s="264"/>
      <c r="I29" s="264"/>
      <c r="J29" s="264"/>
      <c r="K29" s="264"/>
      <c r="L29" s="264"/>
      <c r="M29" s="264"/>
      <c r="N29" s="220">
        <f t="shared" si="0"/>
        <v>1888</v>
      </c>
    </row>
    <row r="30" spans="1:14" x14ac:dyDescent="0.25">
      <c r="A30" s="217" t="s">
        <v>194</v>
      </c>
      <c r="B30" s="266"/>
      <c r="C30" s="266">
        <v>2035</v>
      </c>
      <c r="D30" s="266"/>
      <c r="E30" s="270"/>
      <c r="F30" s="264"/>
      <c r="G30" s="265"/>
      <c r="H30" s="264"/>
      <c r="I30" s="264"/>
      <c r="J30" s="264"/>
      <c r="K30" s="264"/>
      <c r="L30" s="264"/>
      <c r="M30" s="264"/>
      <c r="N30" s="220">
        <f t="shared" si="0"/>
        <v>2035</v>
      </c>
    </row>
    <row r="31" spans="1:14" x14ac:dyDescent="0.25">
      <c r="A31" s="217" t="s">
        <v>199</v>
      </c>
      <c r="B31" s="266"/>
      <c r="C31" s="266">
        <v>200</v>
      </c>
      <c r="D31" s="266"/>
      <c r="E31" s="270"/>
      <c r="F31" s="264"/>
      <c r="G31" s="265"/>
      <c r="H31" s="264"/>
      <c r="I31" s="264"/>
      <c r="J31" s="264"/>
      <c r="K31" s="264"/>
      <c r="L31" s="264"/>
      <c r="M31" s="264"/>
      <c r="N31" s="220">
        <f t="shared" si="0"/>
        <v>200</v>
      </c>
    </row>
    <row r="32" spans="1:14" x14ac:dyDescent="0.25">
      <c r="A32" s="217" t="s">
        <v>214</v>
      </c>
      <c r="B32" s="264"/>
      <c r="C32" s="264"/>
      <c r="D32" s="264">
        <f>300+194.5</f>
        <v>494.5</v>
      </c>
      <c r="E32" s="265"/>
      <c r="F32" s="264"/>
      <c r="G32" s="265"/>
      <c r="H32" s="264"/>
      <c r="I32" s="264"/>
      <c r="J32" s="264"/>
      <c r="K32" s="264"/>
      <c r="L32" s="264"/>
      <c r="M32" s="264"/>
      <c r="N32" s="220">
        <f t="shared" si="0"/>
        <v>494.5</v>
      </c>
    </row>
    <row r="33" spans="1:14" x14ac:dyDescent="0.25">
      <c r="A33" s="217" t="s">
        <v>223</v>
      </c>
      <c r="B33" s="264"/>
      <c r="C33" s="264"/>
      <c r="D33" s="264">
        <v>480</v>
      </c>
      <c r="E33" s="265"/>
      <c r="F33" s="264"/>
      <c r="G33" s="265"/>
      <c r="H33" s="264"/>
      <c r="I33" s="264"/>
      <c r="J33" s="264"/>
      <c r="K33" s="264"/>
      <c r="L33" s="264"/>
      <c r="M33" s="264"/>
      <c r="N33" s="220">
        <f t="shared" si="0"/>
        <v>480</v>
      </c>
    </row>
    <row r="34" spans="1:14" x14ac:dyDescent="0.25">
      <c r="A34" s="217" t="s">
        <v>224</v>
      </c>
      <c r="B34" s="264"/>
      <c r="C34" s="264"/>
      <c r="D34" s="264">
        <v>700</v>
      </c>
      <c r="E34" s="264"/>
      <c r="F34" s="264"/>
      <c r="G34" s="265"/>
      <c r="H34" s="264"/>
      <c r="I34" s="264"/>
      <c r="J34" s="264"/>
      <c r="K34" s="264"/>
      <c r="L34" s="264"/>
      <c r="M34" s="264"/>
      <c r="N34" s="220">
        <f t="shared" si="0"/>
        <v>700</v>
      </c>
    </row>
    <row r="35" spans="1:14" x14ac:dyDescent="0.25">
      <c r="A35" s="217" t="s">
        <v>225</v>
      </c>
      <c r="B35" s="264"/>
      <c r="C35" s="264"/>
      <c r="D35" s="264">
        <v>650</v>
      </c>
      <c r="E35" s="264"/>
      <c r="F35" s="264"/>
      <c r="G35" s="265"/>
      <c r="H35" s="264"/>
      <c r="I35" s="264"/>
      <c r="J35" s="264"/>
      <c r="K35" s="264"/>
      <c r="L35" s="264"/>
      <c r="M35" s="264"/>
      <c r="N35" s="220">
        <f t="shared" si="0"/>
        <v>650</v>
      </c>
    </row>
    <row r="36" spans="1:14" x14ac:dyDescent="0.25">
      <c r="A36" s="226" t="s">
        <v>229</v>
      </c>
      <c r="B36" s="264"/>
      <c r="C36" s="264"/>
      <c r="D36" s="264">
        <v>8700</v>
      </c>
      <c r="E36" s="264"/>
      <c r="F36" s="264"/>
      <c r="G36" s="265"/>
      <c r="H36" s="264"/>
      <c r="I36" s="264"/>
      <c r="J36" s="264"/>
      <c r="K36" s="264"/>
      <c r="L36" s="264"/>
      <c r="M36" s="264"/>
      <c r="N36" s="220">
        <f t="shared" si="0"/>
        <v>8700</v>
      </c>
    </row>
    <row r="37" spans="1:14" x14ac:dyDescent="0.25">
      <c r="A37" s="228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20">
        <f t="shared" ref="N37" si="1">SUM(B37:M37)</f>
        <v>0</v>
      </c>
    </row>
    <row r="38" spans="1:14" x14ac:dyDescent="0.25">
      <c r="A38" s="208" t="s">
        <v>98</v>
      </c>
      <c r="B38" s="277">
        <f>SUM(B1:B37)</f>
        <v>98698.709999999992</v>
      </c>
      <c r="C38" s="277">
        <f>SUM(C1:C37)</f>
        <v>126155.17</v>
      </c>
      <c r="D38" s="277">
        <f>SUM(D1:D37)</f>
        <v>76652.959999999992</v>
      </c>
      <c r="E38" s="277">
        <f>SUM(E1:E37)</f>
        <v>0</v>
      </c>
      <c r="F38" s="277">
        <f>SUM(F1:F37)</f>
        <v>0</v>
      </c>
      <c r="G38" s="277">
        <f>SUM(G1:G37)</f>
        <v>0</v>
      </c>
      <c r="H38" s="277">
        <f>SUM(H1:H37)</f>
        <v>0</v>
      </c>
      <c r="I38" s="277">
        <f>SUM(I1:I37)</f>
        <v>0</v>
      </c>
      <c r="J38" s="277">
        <f>SUM(J1:J37)</f>
        <v>0</v>
      </c>
      <c r="K38" s="277">
        <f>SUM(K1:K37)</f>
        <v>0</v>
      </c>
      <c r="L38" s="277">
        <f>SUM(L1:L37)</f>
        <v>0</v>
      </c>
      <c r="M38" s="277">
        <f>SUM(M1:M37)</f>
        <v>0</v>
      </c>
      <c r="N38" s="234">
        <f>SUM(N1:N37)</f>
        <v>301506.83999999997</v>
      </c>
    </row>
    <row r="39" spans="1:14" x14ac:dyDescent="0.25">
      <c r="N39" s="96">
        <f>SUM(B38:M38)-N38</f>
        <v>0</v>
      </c>
    </row>
  </sheetData>
  <phoneticPr fontId="22" type="noConversion"/>
  <pageMargins left="0.7" right="0.7" top="0.75" bottom="0.75" header="0.3" footer="0.3"/>
  <pageSetup paperSize="9" scale="83" firstPageNumber="42949672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12"/>
  <sheetViews>
    <sheetView workbookViewId="0">
      <selection activeCell="I19" sqref="I19"/>
    </sheetView>
  </sheetViews>
  <sheetFormatPr defaultRowHeight="15" x14ac:dyDescent="0.25"/>
  <cols>
    <col min="1" max="1" width="29.85546875" bestFit="1" customWidth="1"/>
    <col min="2" max="2" width="9.140625" style="1"/>
    <col min="3" max="3" width="7.85546875" style="1" customWidth="1"/>
    <col min="4" max="4" width="9.28515625" style="1" bestFit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3" width="9.140625" style="1"/>
    <col min="14" max="14" width="11.85546875" style="1" bestFit="1" customWidth="1"/>
  </cols>
  <sheetData>
    <row r="1" spans="1:14" x14ac:dyDescent="0.25">
      <c r="A1" s="235" t="s">
        <v>29</v>
      </c>
      <c r="B1" s="209"/>
      <c r="C1" s="209"/>
      <c r="D1" s="209"/>
      <c r="E1" s="209"/>
      <c r="F1" s="210"/>
      <c r="G1" s="210" t="str">
        <f>'ВСЕ затраты'!B1</f>
        <v>2023-2024гг.</v>
      </c>
      <c r="H1" s="209"/>
      <c r="I1" s="209"/>
      <c r="J1" s="209"/>
      <c r="K1" s="209"/>
      <c r="L1" s="209"/>
      <c r="M1" s="209"/>
      <c r="N1" s="214"/>
    </row>
    <row r="2" spans="1:14" x14ac:dyDescent="0.25">
      <c r="A2" s="236"/>
      <c r="B2" s="213" t="s">
        <v>4</v>
      </c>
      <c r="C2" s="213" t="s">
        <v>5</v>
      </c>
      <c r="D2" s="213" t="s">
        <v>6</v>
      </c>
      <c r="E2" s="215" t="s">
        <v>7</v>
      </c>
      <c r="F2" s="213" t="s">
        <v>8</v>
      </c>
      <c r="G2" s="215" t="s">
        <v>9</v>
      </c>
      <c r="H2" s="213" t="s">
        <v>14</v>
      </c>
      <c r="I2" s="215" t="s">
        <v>15</v>
      </c>
      <c r="J2" s="213" t="s">
        <v>16</v>
      </c>
      <c r="K2" s="213" t="s">
        <v>17</v>
      </c>
      <c r="L2" s="213" t="s">
        <v>18</v>
      </c>
      <c r="M2" s="213" t="s">
        <v>19</v>
      </c>
      <c r="N2" s="213"/>
    </row>
    <row r="3" spans="1:14" x14ac:dyDescent="0.25">
      <c r="A3" s="231" t="s">
        <v>107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6">
        <f t="shared" ref="N3:N8" si="0">SUM(B3:M3)</f>
        <v>0</v>
      </c>
    </row>
    <row r="4" spans="1:14" x14ac:dyDescent="0.25">
      <c r="A4" s="231" t="s">
        <v>108</v>
      </c>
      <c r="B4" s="264"/>
      <c r="C4" s="264"/>
      <c r="D4" s="264">
        <v>13116</v>
      </c>
      <c r="E4" s="264"/>
      <c r="F4" s="264"/>
      <c r="G4" s="264"/>
      <c r="H4" s="264"/>
      <c r="I4" s="264"/>
      <c r="J4" s="264"/>
      <c r="K4" s="264"/>
      <c r="L4" s="264"/>
      <c r="M4" s="264"/>
      <c r="N4" s="266">
        <f t="shared" si="0"/>
        <v>13116</v>
      </c>
    </row>
    <row r="5" spans="1:14" x14ac:dyDescent="0.25">
      <c r="A5" s="237" t="s">
        <v>109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6">
        <f t="shared" si="0"/>
        <v>0</v>
      </c>
    </row>
    <row r="6" spans="1:14" x14ac:dyDescent="0.25">
      <c r="A6" s="231" t="s">
        <v>138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6">
        <f t="shared" si="0"/>
        <v>0</v>
      </c>
    </row>
    <row r="7" spans="1:14" x14ac:dyDescent="0.25">
      <c r="A7" s="231"/>
      <c r="B7" s="264"/>
      <c r="C7" s="264"/>
      <c r="D7" s="264"/>
      <c r="E7" s="264"/>
      <c r="F7" s="264"/>
      <c r="G7" s="264"/>
      <c r="H7" s="264"/>
      <c r="I7" s="264"/>
      <c r="J7" s="264"/>
      <c r="K7" s="296"/>
      <c r="L7" s="264"/>
      <c r="M7" s="264"/>
      <c r="N7" s="266">
        <f t="shared" si="0"/>
        <v>0</v>
      </c>
    </row>
    <row r="8" spans="1:14" x14ac:dyDescent="0.25">
      <c r="A8" s="187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6">
        <f t="shared" si="0"/>
        <v>0</v>
      </c>
    </row>
    <row r="10" spans="1:14" x14ac:dyDescent="0.25">
      <c r="A10" s="238" t="s">
        <v>98</v>
      </c>
      <c r="B10" s="239">
        <f t="shared" ref="B10:N10" si="1">SUM(B3:B8)</f>
        <v>0</v>
      </c>
      <c r="C10" s="239">
        <f t="shared" si="1"/>
        <v>0</v>
      </c>
      <c r="D10" s="239">
        <f t="shared" si="1"/>
        <v>13116</v>
      </c>
      <c r="E10" s="239">
        <f t="shared" si="1"/>
        <v>0</v>
      </c>
      <c r="F10" s="239">
        <f t="shared" si="1"/>
        <v>0</v>
      </c>
      <c r="G10" s="239">
        <f t="shared" si="1"/>
        <v>0</v>
      </c>
      <c r="H10" s="239">
        <f t="shared" si="1"/>
        <v>0</v>
      </c>
      <c r="I10" s="239">
        <f t="shared" si="1"/>
        <v>0</v>
      </c>
      <c r="J10" s="239">
        <f t="shared" si="1"/>
        <v>0</v>
      </c>
      <c r="K10" s="239">
        <f t="shared" si="1"/>
        <v>0</v>
      </c>
      <c r="L10" s="239">
        <f t="shared" si="1"/>
        <v>0</v>
      </c>
      <c r="M10" s="239">
        <f t="shared" si="1"/>
        <v>0</v>
      </c>
      <c r="N10" s="239">
        <f t="shared" si="1"/>
        <v>13116</v>
      </c>
    </row>
    <row r="12" spans="1:14" x14ac:dyDescent="0.25">
      <c r="N12" s="240">
        <f>SUM(B10:M10)-N10</f>
        <v>0</v>
      </c>
    </row>
  </sheetData>
  <phoneticPr fontId="22" type="noConversion"/>
  <pageMargins left="0.25" right="0.25" top="0.75" bottom="0.75" header="0.3" footer="0.3"/>
  <pageSetup paperSize="9" scale="97" firstPageNumber="42949672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"/>
  <sheetViews>
    <sheetView workbookViewId="0">
      <selection activeCell="N6" sqref="N6:N7"/>
    </sheetView>
  </sheetViews>
  <sheetFormatPr defaultRowHeight="15" x14ac:dyDescent="0.25"/>
  <cols>
    <col min="1" max="1" width="19.5703125" bestFit="1" customWidth="1"/>
    <col min="2" max="3" width="8.28515625" style="1" bestFit="1" customWidth="1"/>
    <col min="4" max="4" width="9.28515625" style="1" bestFit="1" customWidth="1"/>
    <col min="5" max="5" width="8.7109375" style="1" bestFit="1" customWidth="1"/>
    <col min="6" max="6" width="7.5703125" style="1" bestFit="1" customWidth="1"/>
    <col min="7" max="7" width="11.5703125" style="1" bestFit="1" customWidth="1"/>
    <col min="8" max="8" width="8" style="1" bestFit="1" customWidth="1"/>
    <col min="9" max="9" width="7" style="1" bestFit="1" customWidth="1"/>
    <col min="10" max="10" width="8.28515625" style="1" bestFit="1" customWidth="1"/>
    <col min="11" max="11" width="5" style="1" bestFit="1" customWidth="1"/>
    <col min="12" max="12" width="7" style="1" bestFit="1" customWidth="1"/>
    <col min="13" max="13" width="4.28515625" style="1" bestFit="1" customWidth="1"/>
    <col min="14" max="14" width="9.28515625" style="1" bestFit="1" customWidth="1"/>
  </cols>
  <sheetData>
    <row r="1" spans="1:14" x14ac:dyDescent="0.25">
      <c r="A1" s="235" t="s">
        <v>30</v>
      </c>
      <c r="B1" s="209"/>
      <c r="C1" s="209"/>
      <c r="D1" s="209"/>
      <c r="E1" s="209"/>
      <c r="F1" s="210"/>
      <c r="G1" s="210" t="str">
        <f>'ВСЕ затраты'!B1</f>
        <v>2023-2024гг.</v>
      </c>
      <c r="H1" s="209"/>
      <c r="I1" s="209"/>
      <c r="J1" s="209"/>
      <c r="K1" s="209"/>
      <c r="L1" s="209"/>
      <c r="M1" s="209"/>
      <c r="N1" s="214"/>
    </row>
    <row r="2" spans="1:14" x14ac:dyDescent="0.25">
      <c r="A2" s="236"/>
      <c r="B2" s="213" t="s">
        <v>4</v>
      </c>
      <c r="C2" s="213" t="s">
        <v>5</v>
      </c>
      <c r="D2" s="213" t="s">
        <v>6</v>
      </c>
      <c r="E2" s="215" t="s">
        <v>7</v>
      </c>
      <c r="F2" s="213" t="s">
        <v>8</v>
      </c>
      <c r="G2" s="215" t="s">
        <v>9</v>
      </c>
      <c r="H2" s="213" t="s">
        <v>14</v>
      </c>
      <c r="I2" s="215" t="s">
        <v>15</v>
      </c>
      <c r="J2" s="213" t="s">
        <v>16</v>
      </c>
      <c r="K2" s="213" t="s">
        <v>17</v>
      </c>
      <c r="L2" s="213" t="s">
        <v>18</v>
      </c>
      <c r="M2" s="213" t="s">
        <v>19</v>
      </c>
      <c r="N2" s="213"/>
    </row>
    <row r="3" spans="1:14" x14ac:dyDescent="0.25">
      <c r="A3" s="241"/>
      <c r="B3" s="218"/>
      <c r="C3" s="218"/>
      <c r="D3" s="218"/>
      <c r="E3" s="219"/>
      <c r="F3" s="218"/>
      <c r="G3" s="219"/>
      <c r="H3" s="218"/>
      <c r="I3" s="219"/>
      <c r="J3" s="218"/>
      <c r="K3" s="218"/>
      <c r="L3" s="218"/>
      <c r="M3" s="218"/>
      <c r="N3" s="222">
        <f>SUM(B3:M3)</f>
        <v>0</v>
      </c>
    </row>
    <row r="4" spans="1:14" x14ac:dyDescent="0.25">
      <c r="A4" s="231" t="s">
        <v>110</v>
      </c>
      <c r="B4" s="264">
        <v>1200</v>
      </c>
      <c r="C4" s="264">
        <v>1200</v>
      </c>
      <c r="D4" s="264">
        <v>1200</v>
      </c>
      <c r="E4" s="264"/>
      <c r="F4" s="264"/>
      <c r="G4" s="264"/>
      <c r="H4" s="264"/>
      <c r="I4" s="264"/>
      <c r="J4" s="264"/>
      <c r="K4" s="264"/>
      <c r="L4" s="264"/>
      <c r="M4" s="264"/>
      <c r="N4" s="264">
        <f>SUM(B4:M4)</f>
        <v>3600</v>
      </c>
    </row>
    <row r="5" spans="1:14" x14ac:dyDescent="0.25">
      <c r="A5" s="231" t="s">
        <v>111</v>
      </c>
      <c r="B5" s="264">
        <v>5000</v>
      </c>
      <c r="C5" s="264">
        <v>5000</v>
      </c>
      <c r="D5" s="264">
        <v>5000</v>
      </c>
      <c r="E5" s="264"/>
      <c r="F5" s="264"/>
      <c r="G5" s="264"/>
      <c r="H5" s="264"/>
      <c r="I5" s="264"/>
      <c r="J5" s="264"/>
      <c r="K5" s="264"/>
      <c r="L5" s="264"/>
      <c r="M5" s="264"/>
      <c r="N5" s="264">
        <f>SUM(B5:M5)</f>
        <v>15000</v>
      </c>
    </row>
    <row r="6" spans="1:14" x14ac:dyDescent="0.25">
      <c r="A6" s="231" t="s">
        <v>112</v>
      </c>
      <c r="B6" s="264">
        <v>500</v>
      </c>
      <c r="C6" s="264">
        <v>500</v>
      </c>
      <c r="D6" s="264">
        <v>500</v>
      </c>
      <c r="E6" s="264"/>
      <c r="F6" s="264"/>
      <c r="G6" s="264"/>
      <c r="H6" s="264"/>
      <c r="I6" s="264"/>
      <c r="J6" s="264"/>
      <c r="K6" s="264"/>
      <c r="L6" s="264"/>
      <c r="M6" s="264"/>
      <c r="N6" s="264">
        <f>SUM(B6:M6)</f>
        <v>1500</v>
      </c>
    </row>
    <row r="7" spans="1:14" x14ac:dyDescent="0.25">
      <c r="A7" s="231" t="s">
        <v>206</v>
      </c>
      <c r="B7" s="264"/>
      <c r="C7" s="264"/>
      <c r="D7" s="264">
        <v>11979.05</v>
      </c>
      <c r="E7" s="264"/>
      <c r="F7" s="264"/>
      <c r="G7" s="264"/>
      <c r="H7" s="264"/>
      <c r="I7" s="264"/>
      <c r="J7" s="264"/>
      <c r="K7" s="264"/>
      <c r="L7" s="264"/>
      <c r="M7" s="264"/>
      <c r="N7" s="264">
        <f>SUM(B7:M7)</f>
        <v>11979.05</v>
      </c>
    </row>
    <row r="8" spans="1:14" x14ac:dyDescent="0.25">
      <c r="A8" s="242" t="s">
        <v>98</v>
      </c>
      <c r="B8" s="239">
        <f>SUM(B3:B7)</f>
        <v>6700</v>
      </c>
      <c r="C8" s="239">
        <f t="shared" ref="C8:M8" si="0">SUM(C3:C7)</f>
        <v>6700</v>
      </c>
      <c r="D8" s="239">
        <f t="shared" si="0"/>
        <v>18679.05</v>
      </c>
      <c r="E8" s="239">
        <f t="shared" si="0"/>
        <v>0</v>
      </c>
      <c r="F8" s="239">
        <f t="shared" si="0"/>
        <v>0</v>
      </c>
      <c r="G8" s="239">
        <f t="shared" si="0"/>
        <v>0</v>
      </c>
      <c r="H8" s="239">
        <f t="shared" si="0"/>
        <v>0</v>
      </c>
      <c r="I8" s="239">
        <f t="shared" si="0"/>
        <v>0</v>
      </c>
      <c r="J8" s="239">
        <f t="shared" si="0"/>
        <v>0</v>
      </c>
      <c r="K8" s="239">
        <f t="shared" si="0"/>
        <v>0</v>
      </c>
      <c r="L8" s="239">
        <f t="shared" si="0"/>
        <v>0</v>
      </c>
      <c r="M8" s="239">
        <f t="shared" si="0"/>
        <v>0</v>
      </c>
      <c r="N8" s="243">
        <f>SUM(N3:N7)</f>
        <v>32079.05</v>
      </c>
    </row>
    <row r="10" spans="1:14" x14ac:dyDescent="0.25">
      <c r="N10" s="240">
        <f>SUM(B8:M8)-N8</f>
        <v>0</v>
      </c>
    </row>
  </sheetData>
  <phoneticPr fontId="22" type="noConversion"/>
  <pageMargins left="0.7" right="0.7" top="0.75" bottom="0.75" header="0.3" footer="0.3"/>
  <pageSetup paperSize="9" firstPageNumber="42949672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N11"/>
  <sheetViews>
    <sheetView workbookViewId="0">
      <selection activeCell="B3" sqref="B3"/>
    </sheetView>
  </sheetViews>
  <sheetFormatPr defaultRowHeight="15" x14ac:dyDescent="0.25"/>
  <cols>
    <col min="1" max="1" width="26.7109375" bestFit="1" customWidth="1"/>
    <col min="2" max="4" width="12.85546875" bestFit="1" customWidth="1"/>
    <col min="5" max="5" width="8.7109375" bestFit="1" customWidth="1"/>
    <col min="6" max="6" width="7.5703125" bestFit="1" customWidth="1"/>
    <col min="7" max="7" width="11.5703125" bestFit="1" customWidth="1"/>
    <col min="8" max="8" width="8" bestFit="1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4.5703125" bestFit="1" customWidth="1"/>
  </cols>
  <sheetData>
    <row r="1" spans="1:14" x14ac:dyDescent="0.25">
      <c r="A1" s="235" t="s">
        <v>113</v>
      </c>
      <c r="B1" s="241"/>
      <c r="C1" s="241"/>
      <c r="D1" s="241"/>
      <c r="E1" s="241"/>
      <c r="F1" s="210"/>
      <c r="G1" s="210" t="str">
        <f>'ВСЕ затраты'!B1</f>
        <v>2023-2024гг.</v>
      </c>
      <c r="H1" s="241"/>
      <c r="I1" s="241"/>
      <c r="J1" s="241"/>
      <c r="K1" s="241"/>
      <c r="L1" s="241"/>
      <c r="M1" s="241"/>
      <c r="N1" s="236"/>
    </row>
    <row r="2" spans="1:14" x14ac:dyDescent="0.25">
      <c r="A2" s="236"/>
      <c r="B2" s="222" t="s">
        <v>4</v>
      </c>
      <c r="C2" s="222" t="s">
        <v>5</v>
      </c>
      <c r="D2" s="222" t="s">
        <v>6</v>
      </c>
      <c r="E2" s="223" t="s">
        <v>7</v>
      </c>
      <c r="F2" s="222" t="s">
        <v>8</v>
      </c>
      <c r="G2" s="223" t="s">
        <v>9</v>
      </c>
      <c r="H2" s="222" t="s">
        <v>14</v>
      </c>
      <c r="I2" s="223" t="s">
        <v>15</v>
      </c>
      <c r="J2" s="222" t="s">
        <v>16</v>
      </c>
      <c r="K2" s="222" t="s">
        <v>17</v>
      </c>
      <c r="L2" s="222" t="s">
        <v>18</v>
      </c>
      <c r="M2" s="222" t="s">
        <v>19</v>
      </c>
      <c r="N2" s="244" t="s">
        <v>98</v>
      </c>
    </row>
    <row r="3" spans="1:14" ht="25.5" customHeight="1" x14ac:dyDescent="0.25">
      <c r="A3" s="245" t="s">
        <v>114</v>
      </c>
      <c r="B3" s="288">
        <f>18792+19061+43221+19481.92+34303.57+191068.21-100100+5141.08+102086+46805+135507.1+66333.5</f>
        <v>581700.37999999989</v>
      </c>
      <c r="C3" s="288">
        <f>184267.27+71161.2+69800.29+10000+25413+86470+40720+10770.96+34302.57+6629.05+83917+36819</f>
        <v>660270.34</v>
      </c>
      <c r="D3" s="288">
        <f>64252+554804.02</f>
        <v>619056.02</v>
      </c>
      <c r="E3" s="288"/>
      <c r="F3" s="288"/>
      <c r="G3" s="288"/>
      <c r="H3" s="288"/>
      <c r="I3" s="288"/>
      <c r="J3" s="288"/>
      <c r="K3" s="288"/>
      <c r="L3" s="288"/>
      <c r="M3" s="288"/>
      <c r="N3" s="295">
        <f>SUM(B3:M3)</f>
        <v>1861026.7399999998</v>
      </c>
    </row>
    <row r="4" spans="1:14" x14ac:dyDescent="0.25">
      <c r="A4" s="245" t="s">
        <v>140</v>
      </c>
      <c r="B4" s="288">
        <v>45500</v>
      </c>
      <c r="C4" s="288">
        <v>70000</v>
      </c>
      <c r="D4" s="288">
        <v>70000</v>
      </c>
      <c r="E4" s="289"/>
      <c r="F4" s="288"/>
      <c r="G4" s="289"/>
      <c r="H4" s="288"/>
      <c r="I4" s="289"/>
      <c r="J4" s="288"/>
      <c r="K4" s="288"/>
      <c r="L4" s="288"/>
      <c r="M4" s="288"/>
      <c r="N4" s="295">
        <f>SUM(B4:M4)</f>
        <v>185500</v>
      </c>
    </row>
    <row r="5" spans="1:14" x14ac:dyDescent="0.25">
      <c r="A5" s="246" t="s">
        <v>115</v>
      </c>
      <c r="B5" s="279">
        <v>30000</v>
      </c>
      <c r="C5" s="279"/>
      <c r="D5" s="279"/>
      <c r="E5" s="290"/>
      <c r="F5" s="279"/>
      <c r="G5" s="290"/>
      <c r="H5" s="279"/>
      <c r="I5" s="290"/>
      <c r="J5" s="279"/>
      <c r="K5" s="279"/>
      <c r="L5" s="279"/>
      <c r="M5" s="279"/>
      <c r="N5" s="295">
        <f>SUM(B5:M5)</f>
        <v>30000</v>
      </c>
    </row>
    <row r="6" spans="1:14" x14ac:dyDescent="0.25">
      <c r="A6" s="235" t="s">
        <v>98</v>
      </c>
      <c r="B6" s="294">
        <f t="shared" ref="B6:N6" si="0">SUM(B3:B5)</f>
        <v>657200.37999999989</v>
      </c>
      <c r="C6" s="294">
        <f t="shared" si="0"/>
        <v>730270.34</v>
      </c>
      <c r="D6" s="294">
        <f t="shared" si="0"/>
        <v>689056.02</v>
      </c>
      <c r="E6" s="294">
        <f t="shared" si="0"/>
        <v>0</v>
      </c>
      <c r="F6" s="294">
        <f t="shared" si="0"/>
        <v>0</v>
      </c>
      <c r="G6" s="294">
        <f t="shared" si="0"/>
        <v>0</v>
      </c>
      <c r="H6" s="294">
        <f t="shared" si="0"/>
        <v>0</v>
      </c>
      <c r="I6" s="294">
        <f t="shared" si="0"/>
        <v>0</v>
      </c>
      <c r="J6" s="294">
        <f t="shared" si="0"/>
        <v>0</v>
      </c>
      <c r="K6" s="294">
        <f t="shared" si="0"/>
        <v>0</v>
      </c>
      <c r="L6" s="294">
        <f t="shared" si="0"/>
        <v>0</v>
      </c>
      <c r="M6" s="294">
        <f t="shared" si="0"/>
        <v>0</v>
      </c>
      <c r="N6" s="294">
        <f t="shared" si="0"/>
        <v>2076526.7399999998</v>
      </c>
    </row>
    <row r="8" spans="1:14" x14ac:dyDescent="0.25">
      <c r="N8" s="240">
        <f>SUM(B6:M6)-N6</f>
        <v>0</v>
      </c>
    </row>
    <row r="10" spans="1:14" s="248" customFormat="1" ht="15.75" x14ac:dyDescent="0.25">
      <c r="M10" s="222"/>
    </row>
    <row r="11" spans="1:14" ht="18.75" x14ac:dyDescent="0.3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95"/>
    </row>
  </sheetData>
  <phoneticPr fontId="22" type="noConversion"/>
  <pageMargins left="0.7" right="0.7" top="0.75" bottom="0.75" header="0.3" footer="0.3"/>
  <pageSetup paperSize="9" scale="87" firstPageNumber="42949672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8"/>
  <sheetViews>
    <sheetView workbookViewId="0">
      <selection activeCell="B3" sqref="B3:N5"/>
    </sheetView>
  </sheetViews>
  <sheetFormatPr defaultRowHeight="15" x14ac:dyDescent="0.2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 x14ac:dyDescent="0.25">
      <c r="A1" s="210" t="s">
        <v>33</v>
      </c>
      <c r="B1" s="209"/>
      <c r="C1" s="209"/>
      <c r="D1" s="209"/>
      <c r="E1" s="209"/>
      <c r="F1" s="210"/>
      <c r="G1" s="210" t="str">
        <f>'ВСЕ затраты'!B1</f>
        <v>2023-2024гг.</v>
      </c>
      <c r="H1" s="209"/>
      <c r="I1" s="209"/>
      <c r="J1" s="209"/>
      <c r="K1" s="209"/>
      <c r="L1" s="209"/>
      <c r="M1" s="209"/>
      <c r="N1" s="214"/>
    </row>
    <row r="2" spans="1:14" x14ac:dyDescent="0.25">
      <c r="A2" s="214"/>
      <c r="B2" s="213" t="s">
        <v>4</v>
      </c>
      <c r="C2" s="213" t="s">
        <v>5</v>
      </c>
      <c r="D2" s="213" t="s">
        <v>6</v>
      </c>
      <c r="E2" s="215" t="s">
        <v>7</v>
      </c>
      <c r="F2" s="213" t="s">
        <v>8</v>
      </c>
      <c r="G2" s="215" t="s">
        <v>9</v>
      </c>
      <c r="H2" s="213" t="s">
        <v>14</v>
      </c>
      <c r="I2" s="215" t="s">
        <v>15</v>
      </c>
      <c r="J2" s="213" t="s">
        <v>16</v>
      </c>
      <c r="K2" s="213" t="s">
        <v>17</v>
      </c>
      <c r="L2" s="213" t="s">
        <v>18</v>
      </c>
      <c r="M2" s="213" t="s">
        <v>19</v>
      </c>
      <c r="N2" s="213"/>
    </row>
    <row r="3" spans="1:14" ht="29.25" customHeight="1" x14ac:dyDescent="0.25">
      <c r="A3" s="250" t="s">
        <v>116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>
        <f>SUM(B3:M3)</f>
        <v>0</v>
      </c>
    </row>
    <row r="4" spans="1:14" x14ac:dyDescent="0.25">
      <c r="A4" s="250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>
        <f>SUM(B4:M4)</f>
        <v>0</v>
      </c>
    </row>
    <row r="5" spans="1:14" x14ac:dyDescent="0.25">
      <c r="A5" s="210" t="s">
        <v>98</v>
      </c>
      <c r="B5" s="277">
        <f>SUM(B3:B4)</f>
        <v>0</v>
      </c>
      <c r="C5" s="277">
        <f t="shared" ref="C5:M5" si="0">SUM(C3:C4)</f>
        <v>0</v>
      </c>
      <c r="D5" s="277">
        <f t="shared" si="0"/>
        <v>0</v>
      </c>
      <c r="E5" s="277">
        <f t="shared" si="0"/>
        <v>0</v>
      </c>
      <c r="F5" s="277">
        <f t="shared" si="0"/>
        <v>0</v>
      </c>
      <c r="G5" s="277">
        <f t="shared" si="0"/>
        <v>0</v>
      </c>
      <c r="H5" s="277">
        <f t="shared" si="0"/>
        <v>0</v>
      </c>
      <c r="I5" s="277">
        <f t="shared" si="0"/>
        <v>0</v>
      </c>
      <c r="J5" s="277">
        <f t="shared" si="0"/>
        <v>0</v>
      </c>
      <c r="K5" s="277">
        <f t="shared" si="0"/>
        <v>0</v>
      </c>
      <c r="L5" s="277">
        <f t="shared" si="0"/>
        <v>0</v>
      </c>
      <c r="M5" s="277">
        <f t="shared" si="0"/>
        <v>0</v>
      </c>
      <c r="N5" s="277">
        <f>SUM(N3:N4)</f>
        <v>0</v>
      </c>
    </row>
    <row r="6" spans="1:14" x14ac:dyDescent="0.25">
      <c r="H6" s="251"/>
    </row>
    <row r="7" spans="1:14" x14ac:dyDescent="0.25">
      <c r="N7" s="240">
        <f>SUM(B5:M5)-N5</f>
        <v>0</v>
      </c>
    </row>
    <row r="8" spans="1:14" x14ac:dyDescent="0.25">
      <c r="A8" s="252"/>
    </row>
  </sheetData>
  <phoneticPr fontId="22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14"/>
  <sheetViews>
    <sheetView workbookViewId="0">
      <selection activeCell="D3" sqref="D3"/>
    </sheetView>
  </sheetViews>
  <sheetFormatPr defaultRowHeight="15" x14ac:dyDescent="0.25"/>
  <cols>
    <col min="1" max="1" width="28.28515625" bestFit="1" customWidth="1"/>
    <col min="2" max="3" width="10.28515625" bestFit="1" customWidth="1"/>
    <col min="4" max="4" width="10.42578125" bestFit="1" customWidth="1"/>
    <col min="5" max="5" width="8.7109375" bestFit="1" customWidth="1"/>
    <col min="6" max="6" width="7.5703125" bestFit="1" customWidth="1"/>
    <col min="7" max="7" width="11.5703125" bestFit="1" customWidth="1"/>
    <col min="8" max="8" width="8" bestFit="1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0.28515625" bestFit="1" customWidth="1"/>
  </cols>
  <sheetData>
    <row r="1" spans="1:14" x14ac:dyDescent="0.25">
      <c r="A1" s="235" t="s">
        <v>34</v>
      </c>
      <c r="B1" s="241"/>
      <c r="C1" s="241"/>
      <c r="D1" s="241"/>
      <c r="E1" s="241"/>
      <c r="F1" s="210"/>
      <c r="G1" s="210" t="str">
        <f>'ВСЕ затраты'!B1</f>
        <v>2023-2024гг.</v>
      </c>
      <c r="H1" s="241"/>
      <c r="I1" s="241"/>
      <c r="J1" s="241"/>
      <c r="K1" s="241"/>
      <c r="L1" s="241"/>
      <c r="M1" s="241"/>
      <c r="N1" s="236"/>
    </row>
    <row r="2" spans="1:14" x14ac:dyDescent="0.25">
      <c r="A2" s="236"/>
      <c r="B2" s="213" t="s">
        <v>4</v>
      </c>
      <c r="C2" s="213" t="s">
        <v>5</v>
      </c>
      <c r="D2" s="222" t="s">
        <v>6</v>
      </c>
      <c r="E2" s="215" t="s">
        <v>7</v>
      </c>
      <c r="F2" s="213" t="s">
        <v>8</v>
      </c>
      <c r="G2" s="215" t="s">
        <v>9</v>
      </c>
      <c r="H2" s="213" t="s">
        <v>14</v>
      </c>
      <c r="I2" s="215" t="s">
        <v>15</v>
      </c>
      <c r="J2" s="213" t="s">
        <v>16</v>
      </c>
      <c r="K2" s="213" t="s">
        <v>17</v>
      </c>
      <c r="L2" s="213" t="s">
        <v>18</v>
      </c>
      <c r="M2" s="213" t="s">
        <v>19</v>
      </c>
      <c r="N2" s="213"/>
    </row>
    <row r="3" spans="1:14" x14ac:dyDescent="0.25">
      <c r="A3" s="231" t="s">
        <v>117</v>
      </c>
      <c r="B3" s="264">
        <f>537373.74-231000+1000+3448.58</f>
        <v>310822.32</v>
      </c>
      <c r="C3" s="264">
        <f>1179.99+176996.04</f>
        <v>178176.03</v>
      </c>
      <c r="D3" s="97">
        <f>1191.56+178733.35</f>
        <v>179924.91</v>
      </c>
      <c r="E3" s="264"/>
      <c r="F3" s="264"/>
      <c r="G3" s="264"/>
      <c r="H3" s="264"/>
      <c r="I3" s="264"/>
      <c r="J3" s="264"/>
      <c r="K3" s="264"/>
      <c r="L3" s="264"/>
      <c r="M3" s="264"/>
      <c r="N3" s="266">
        <f>SUM(B3:M3)</f>
        <v>668923.26</v>
      </c>
    </row>
    <row r="4" spans="1:14" x14ac:dyDescent="0.25">
      <c r="A4" s="231"/>
      <c r="B4" s="264" t="s">
        <v>64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6">
        <f>SUM(B4:M4)</f>
        <v>0</v>
      </c>
    </row>
    <row r="5" spans="1:14" x14ac:dyDescent="0.25">
      <c r="A5" s="231" t="s">
        <v>118</v>
      </c>
      <c r="B5" s="264">
        <v>2.38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6">
        <f>SUM(B5:M5)</f>
        <v>2.38</v>
      </c>
    </row>
    <row r="6" spans="1:14" x14ac:dyDescent="0.25">
      <c r="A6" s="235" t="s">
        <v>98</v>
      </c>
      <c r="B6" s="277">
        <f t="shared" ref="B6:N6" si="0">SUM(B3:B5)</f>
        <v>310824.7</v>
      </c>
      <c r="C6" s="277">
        <f t="shared" si="0"/>
        <v>178176.03</v>
      </c>
      <c r="D6" s="277">
        <f>SUM(D3:D5)</f>
        <v>179924.91</v>
      </c>
      <c r="E6" s="277">
        <f t="shared" si="0"/>
        <v>0</v>
      </c>
      <c r="F6" s="277">
        <f t="shared" si="0"/>
        <v>0</v>
      </c>
      <c r="G6" s="277">
        <f t="shared" si="0"/>
        <v>0</v>
      </c>
      <c r="H6" s="277">
        <f t="shared" si="0"/>
        <v>0</v>
      </c>
      <c r="I6" s="277">
        <f t="shared" si="0"/>
        <v>0</v>
      </c>
      <c r="J6" s="277">
        <f t="shared" si="0"/>
        <v>0</v>
      </c>
      <c r="K6" s="277">
        <f t="shared" si="0"/>
        <v>0</v>
      </c>
      <c r="L6" s="277">
        <f t="shared" si="0"/>
        <v>0</v>
      </c>
      <c r="M6" s="277">
        <f t="shared" si="0"/>
        <v>0</v>
      </c>
      <c r="N6" s="277">
        <f t="shared" si="0"/>
        <v>668925.64</v>
      </c>
    </row>
    <row r="8" spans="1:14" x14ac:dyDescent="0.25">
      <c r="N8" s="240">
        <f>SUM(B6:M6)-N6</f>
        <v>0</v>
      </c>
    </row>
    <row r="9" spans="1:14" ht="15.75" hidden="1" x14ac:dyDescent="0.25">
      <c r="A9" s="375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</row>
    <row r="10" spans="1:14" ht="15.75" hidden="1" x14ac:dyDescent="0.25">
      <c r="A10" s="375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</row>
    <row r="11" spans="1:14" hidden="1" x14ac:dyDescent="0.25"/>
    <row r="12" spans="1:14" ht="15.75" hidden="1" x14ac:dyDescent="0.25">
      <c r="A12" s="190"/>
      <c r="B12" s="248"/>
      <c r="C12" s="248"/>
      <c r="D12" s="248"/>
      <c r="E12" s="248"/>
      <c r="F12" s="248"/>
      <c r="G12" s="248"/>
      <c r="H12" s="248"/>
      <c r="I12" s="248"/>
      <c r="J12" s="248"/>
      <c r="K12" s="248"/>
    </row>
    <row r="13" spans="1:14" ht="15.75" hidden="1" x14ac:dyDescent="0.25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4"/>
    </row>
    <row r="14" spans="1:14" hidden="1" x14ac:dyDescent="0.25"/>
  </sheetData>
  <mergeCells count="3">
    <mergeCell ref="A13:L13"/>
    <mergeCell ref="A9:L9"/>
    <mergeCell ref="A10:L10"/>
  </mergeCells>
  <phoneticPr fontId="22" type="noConversion"/>
  <pageMargins left="0.25" right="0.25" top="0.75" bottom="0.75" header="0.3" footer="0.3"/>
  <pageSetup paperSize="9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инвентарь</vt:lpstr>
      <vt:lpstr>мусор</vt:lpstr>
      <vt:lpstr>газ</vt:lpstr>
      <vt:lpstr>вода</vt:lpstr>
      <vt:lpstr>канализация</vt:lpstr>
      <vt:lpstr>электроснабжение</vt:lpstr>
      <vt:lpstr>сод дор и терр</vt:lpstr>
      <vt:lpstr>благоустройство</vt:lpstr>
      <vt:lpstr>резервный фонд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soglasie1@outlook.com</cp:lastModifiedBy>
  <cp:revision>1</cp:revision>
  <cp:lastPrinted>2023-09-06T13:28:42Z</cp:lastPrinted>
  <dcterms:created xsi:type="dcterms:W3CDTF">2015-11-16T11:04:42Z</dcterms:created>
  <dcterms:modified xsi:type="dcterms:W3CDTF">2023-09-06T13:29:06Z</dcterms:modified>
</cp:coreProperties>
</file>